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45" windowWidth="10515" windowHeight="6480"/>
  </bookViews>
  <sheets>
    <sheet name="Index" sheetId="2" r:id="rId1"/>
    <sheet name="Database" sheetId="3" r:id="rId2"/>
    <sheet name="PaF-SH-boiler" sheetId="5" r:id="rId3"/>
    <sheet name="PaF-SH-cogeneration" sheetId="6" r:id="rId4"/>
    <sheet name="PaF-SH-heat pump" sheetId="7" r:id="rId5"/>
    <sheet name="PaF-SH-LT heat pump" sheetId="8" r:id="rId6"/>
    <sheet name="PaF-water heater" sheetId="15" r:id="rId7"/>
    <sheet name="PrF-WH-solar water heater" sheetId="10" r:id="rId8"/>
    <sheet name="PrF-hot water storage" sheetId="12" r:id="rId9"/>
  </sheets>
  <definedNames>
    <definedName name="_a1">#REF!</definedName>
    <definedName name="_a2">#REF!</definedName>
    <definedName name="Ac">#REF!</definedName>
    <definedName name="Asol">#REF!</definedName>
    <definedName name="ccap">#REF!</definedName>
    <definedName name="Climate" localSheetId="6">#REF!</definedName>
    <definedName name="Climate">#REF!</definedName>
    <definedName name="Col_WHE_Pa_L">Database!$Q$17:$Q$26</definedName>
    <definedName name="Col_WHE_Pa_Lab">Database!$N$17:$N$26</definedName>
    <definedName name="Col_WHE_Pa_M">Database!$P$17:$P$26</definedName>
    <definedName name="Col_WHE_Pa_S">Database!$O$17:$O$26</definedName>
    <definedName name="Col_WHE_Pa_XL">Database!$R$17:$R$26</definedName>
    <definedName name="Col_WHE_Pa_XXL">Database!$S$17:$S$26</definedName>
    <definedName name="Col_WHE_Pr_L">Database!$Q$17:$Q$23</definedName>
    <definedName name="Col_WHE_Pr_Lab">Database!$N$17:$N$23</definedName>
    <definedName name="Col_WHE_Pr_M">Database!$P$17:$P$23</definedName>
    <definedName name="Col_WHE_Pr_S">Database!$O$17:$O$23</definedName>
    <definedName name="Col_WHE_Pr_XL">Database!$R$17:$R$23</definedName>
    <definedName name="Col_WHE_Pr_XXL">Database!$S$17:$S$23</definedName>
    <definedName name="dbf_Boilers">Database!$B$6:$D$20</definedName>
    <definedName name="dbf_CoGen">Database!$B$102:$D$116</definedName>
    <definedName name="dbf_Ctrl">Database!$B$25:$D$33</definedName>
    <definedName name="dbf_HeatPump">Database!$B$39:$F$54</definedName>
    <definedName name="dbf_HWST">Database!$B$77:$E$97</definedName>
    <definedName name="dbf_Qref">Database!$O$15:$S$16</definedName>
    <definedName name="dbf_SHW">Database!$B$150:$X$162</definedName>
    <definedName name="dbf_SolarWH" localSheetId="6">Database!#REF!</definedName>
    <definedName name="dbf_SolarWH">Database!#REF!</definedName>
    <definedName name="dbf_SolCol">Database!$B$59:$D$72</definedName>
    <definedName name="dbf_Tankrating">Database!$N$70:$O$77</definedName>
    <definedName name="dbf_Waterheaters">Database!$B$122:$D$143</definedName>
    <definedName name="Eo">#REF!</definedName>
    <definedName name="Esys_L" localSheetId="6">'PaF-water heater'!$D$54:$D$62</definedName>
    <definedName name="Esys_L">#REF!</definedName>
    <definedName name="Esys_M" localSheetId="6">'PaF-water heater'!$C$54:$C$62</definedName>
    <definedName name="Esys_M">#REF!</definedName>
    <definedName name="Esys_XL" localSheetId="6">'PaF-water heater'!$E$54:$E$62</definedName>
    <definedName name="Esys_XL">#REF!</definedName>
    <definedName name="Esys_XXL" localSheetId="6">'PaF-water heater'!$F$54:$F$62</definedName>
    <definedName name="Esys_XXL">#REF!</definedName>
    <definedName name="etaloop">#REF!</definedName>
    <definedName name="IAM">#REF!</definedName>
    <definedName name="LoadProfile" localSheetId="6">#REF!</definedName>
    <definedName name="LoadProfile">#REF!</definedName>
    <definedName name="LP_SolCal">#REF!</definedName>
    <definedName name="lst_Boilers">Database!$B$6:$B$20</definedName>
    <definedName name="lst_CoGen">Database!$B$102:$B$116</definedName>
    <definedName name="lst_Ctrl">Database!$B$25:$B$33</definedName>
    <definedName name="lst_HeatPump">Database!$B$39:$B$54</definedName>
    <definedName name="lst_HWST">Database!$B$77:$B$97</definedName>
    <definedName name="lst_Qref">Database!$O$15:$S$15</definedName>
    <definedName name="lst_solarWH" localSheetId="6">Database!#REF!</definedName>
    <definedName name="lst_solarWH">Database!#REF!</definedName>
    <definedName name="lst_SolCol">Database!$B$59:$B$72</definedName>
    <definedName name="lst_SWH">Database!$B$150:$B$162</definedName>
    <definedName name="lst_Waterheaters">Database!$B$122:$B$143</definedName>
    <definedName name="PF_3XL">'PrF-WH-solar water heater'!$Z$65:$Z$71</definedName>
    <definedName name="PF_4XL">'PrF-WH-solar water heater'!$AA$65:$AA$71</definedName>
    <definedName name="PF_L">'PrF-WH-solar water heater'!$W$65:$W$71</definedName>
    <definedName name="PF_M">'PrF-WH-solar water heater'!$V$65:$V$71</definedName>
    <definedName name="PF_S">'PrF-WH-solar water heater'!$U$65:$U$71</definedName>
    <definedName name="PF_XL">'PrF-WH-solar water heater'!$X$65:$X$71</definedName>
    <definedName name="PF_XXL">'PrF-WH-solar water heater'!$Y$65:$Y$71</definedName>
    <definedName name="_xlnm.Print_Area" localSheetId="2">'PaF-SH-boiler'!$J$1:$AC$56</definedName>
    <definedName name="_xlnm.Print_Area" localSheetId="3">'PaF-SH-cogeneration'!$J$1:$AC$44</definedName>
    <definedName name="_xlnm.Print_Area" localSheetId="4">'PaF-SH-heat pump'!$J$12:$AC$48</definedName>
    <definedName name="_xlnm.Print_Area" localSheetId="5">'PaF-SH-LT heat pump'!$J$1:$AC$48</definedName>
    <definedName name="_xlnm.Print_Area" localSheetId="6">'PaF-water heater'!$I$1:$AE$40</definedName>
    <definedName name="_xlnm.Print_Area" localSheetId="8">'PrF-hot water storage'!$D$1:$K$18</definedName>
    <definedName name="_xlnm.Print_Area" localSheetId="7">'PrF-WH-solar water heater'!$I$1:$R$42</definedName>
    <definedName name="PsbSol">#REF!</definedName>
    <definedName name="Qnonsol_L" localSheetId="6">Database!#REF!</definedName>
    <definedName name="Qnonsol_L">Database!#REF!</definedName>
    <definedName name="Qnonsol_M" localSheetId="6">Database!#REF!</definedName>
    <definedName name="Qnonsol_M">Database!#REF!</definedName>
    <definedName name="Qnonsol_XL" localSheetId="6">Database!#REF!</definedName>
    <definedName name="Qnonsol_XL">Database!#REF!</definedName>
    <definedName name="Qnonsol_XXL" localSheetId="6">Database!#REF!</definedName>
    <definedName name="Qnonsol_XXL">Database!#REF!</definedName>
    <definedName name="Qns_A_L">Database!$F$150:$F$162</definedName>
    <definedName name="Qns_A_M">Database!$E$150:$E$162</definedName>
    <definedName name="Qns_A_XL">Database!$G$150:$G$162</definedName>
    <definedName name="Qns_A_XXL">Database!$H$150:$H$162</definedName>
    <definedName name="Qns_C_L">Database!$J$150:$J$162</definedName>
    <definedName name="Qns_C_M">Database!$I$150:$I$162</definedName>
    <definedName name="Qns_C_XL">Database!$K$150:$K$162</definedName>
    <definedName name="Qns_C_XXL">Database!$L$150:$L$162</definedName>
    <definedName name="Qns_W_L">Database!$N$150:$N$162</definedName>
    <definedName name="Qns_W_M">Database!$M$150:$M$162</definedName>
    <definedName name="Qns_W_XL">Database!$O$150:$O$162</definedName>
    <definedName name="Qns_W_XXL">Database!$P$150:$P$162</definedName>
    <definedName name="Qta_A_L" localSheetId="7">Database!$Z$150:$Z$162</definedName>
    <definedName name="Qta_A_M" localSheetId="7">Database!$Y$150:$Y$162</definedName>
    <definedName name="Qta_A_XL" localSheetId="7">Database!$AA$150:$AA$162</definedName>
    <definedName name="Qta_A_XXL">Database!$AB$150:$AB$162</definedName>
    <definedName name="Qta_C_L">Database!$AD$150:$AD$162</definedName>
    <definedName name="Qta_C_M">Database!$AC$150:$AC$162</definedName>
    <definedName name="Qta_C_XL">Database!$AE$150:$AE$162</definedName>
    <definedName name="Qta_C_XXL">Database!$AF$150:$AF$162</definedName>
    <definedName name="Qta_W_L">Database!$AH$150:$AH$162</definedName>
    <definedName name="Qta_W_M">Database!$AG$150:$AG$162</definedName>
    <definedName name="Qta_W_XL">Database!$AI$150:$AI$162</definedName>
    <definedName name="Qta_W_XXL">Database!$AJ$150:$AJ$162</definedName>
    <definedName name="solpump">#REF!</definedName>
    <definedName name="solsb">#REF!</definedName>
    <definedName name="StoreLoc">#REF!</definedName>
    <definedName name="tbl1_S">Database!$N$110:$N$119</definedName>
    <definedName name="tbl12_R">Database!$P$110:$P$119</definedName>
    <definedName name="tbl2_S">Database!$O$110:$O$119</definedName>
    <definedName name="Tbl5_SH">Database!$N$82:$P$89</definedName>
    <definedName name="Tbl5_SH_Ext">Database!$N$82:$T$89</definedName>
    <definedName name="Tbl6_SH">Database!$N$95:$P$102</definedName>
    <definedName name="Tbl6_SH_Ext">Database!$N$95:$T$102</definedName>
    <definedName name="UL">#REF!</definedName>
    <definedName name="Vbu">#REF!</definedName>
    <definedName name="Vnom">#REF!</definedName>
    <definedName name="Vsol">#REF!</definedName>
    <definedName name="YesNo">Database!$N$4:$N$5</definedName>
  </definedNames>
  <calcPr calcId="125725"/>
</workbook>
</file>

<file path=xl/calcChain.xml><?xml version="1.0" encoding="utf-8"?>
<calcChain xmlns="http://schemas.openxmlformats.org/spreadsheetml/2006/main">
  <c r="C20" i="10"/>
  <c r="C23" i="15"/>
  <c r="Z21" i="8"/>
  <c r="Z21" i="7"/>
  <c r="AB35" i="5" l="1"/>
  <c r="G27" i="8"/>
  <c r="T101" i="3" l="1"/>
  <c r="S101"/>
  <c r="R101"/>
  <c r="Q101"/>
  <c r="T100"/>
  <c r="S100"/>
  <c r="R100"/>
  <c r="Q100"/>
  <c r="T99"/>
  <c r="S99"/>
  <c r="R99"/>
  <c r="Q99"/>
  <c r="T98"/>
  <c r="S98"/>
  <c r="R98"/>
  <c r="Q98"/>
  <c r="T97"/>
  <c r="S97"/>
  <c r="R97"/>
  <c r="Q97"/>
  <c r="T96"/>
  <c r="S96"/>
  <c r="R96"/>
  <c r="Q96"/>
  <c r="T95"/>
  <c r="S95"/>
  <c r="R95"/>
  <c r="Q95"/>
  <c r="Q83" l="1"/>
  <c r="R83" s="1"/>
  <c r="Q84"/>
  <c r="R84" s="1"/>
  <c r="Q85"/>
  <c r="R85" s="1"/>
  <c r="Q86"/>
  <c r="R86" s="1"/>
  <c r="Q87"/>
  <c r="R87" s="1"/>
  <c r="Q88"/>
  <c r="R88" s="1"/>
  <c r="R82"/>
  <c r="Q82"/>
  <c r="S83"/>
  <c r="T83"/>
  <c r="S84"/>
  <c r="T84" s="1"/>
  <c r="S85"/>
  <c r="T85"/>
  <c r="S86"/>
  <c r="T86" s="1"/>
  <c r="S87"/>
  <c r="T87"/>
  <c r="S88"/>
  <c r="T88" s="1"/>
  <c r="T82"/>
  <c r="S82"/>
  <c r="AB17" i="5" l="1"/>
  <c r="AB17" i="6"/>
  <c r="AB17" i="7"/>
  <c r="AB17" i="8"/>
  <c r="N96" i="3"/>
  <c r="N97" s="1"/>
  <c r="N98" s="1"/>
  <c r="N99" s="1"/>
  <c r="N100" s="1"/>
  <c r="N101" s="1"/>
  <c r="N102" s="1"/>
  <c r="N83"/>
  <c r="N84" s="1"/>
  <c r="N85" s="1"/>
  <c r="N86" s="1"/>
  <c r="N87" s="1"/>
  <c r="N88" s="1"/>
  <c r="N89" s="1"/>
  <c r="S12"/>
  <c r="S11"/>
  <c r="F19" i="10" l="1"/>
  <c r="G22" i="15" l="1"/>
  <c r="G16" l="1"/>
  <c r="G14"/>
  <c r="T22" s="1"/>
  <c r="F16" i="12"/>
  <c r="Q53" s="1"/>
  <c r="F15"/>
  <c r="Z22" i="15" l="1"/>
  <c r="P56" i="12"/>
  <c r="P60"/>
  <c r="P58"/>
  <c r="P62"/>
  <c r="P59"/>
  <c r="P57"/>
  <c r="P61"/>
  <c r="J30" i="15"/>
  <c r="J32"/>
  <c r="J29"/>
  <c r="AD14"/>
  <c r="X16"/>
  <c r="F22"/>
  <c r="X22" s="1"/>
  <c r="J31"/>
  <c r="AB22"/>
  <c r="AD22" l="1"/>
  <c r="AB36" s="1"/>
  <c r="AD25" l="1"/>
  <c r="AB38"/>
  <c r="H27" i="8"/>
  <c r="Z26" s="1"/>
  <c r="H25"/>
  <c r="G25"/>
  <c r="H21"/>
  <c r="G21"/>
  <c r="H17"/>
  <c r="H13"/>
  <c r="G13"/>
  <c r="F13"/>
  <c r="E13"/>
  <c r="H27" i="7"/>
  <c r="Z26" s="1"/>
  <c r="G27"/>
  <c r="H25"/>
  <c r="G25"/>
  <c r="H21"/>
  <c r="G21"/>
  <c r="H17"/>
  <c r="H13"/>
  <c r="G13"/>
  <c r="F13"/>
  <c r="E13"/>
  <c r="H28" i="6"/>
  <c r="Z26" s="1"/>
  <c r="G28"/>
  <c r="H26"/>
  <c r="G26"/>
  <c r="H21"/>
  <c r="G21"/>
  <c r="Z21" s="1"/>
  <c r="H17"/>
  <c r="H13"/>
  <c r="G13"/>
  <c r="H30" i="5"/>
  <c r="G30"/>
  <c r="H26"/>
  <c r="Z26" s="1"/>
  <c r="G26"/>
  <c r="H24"/>
  <c r="G24"/>
  <c r="H21"/>
  <c r="G21"/>
  <c r="H17"/>
  <c r="H13"/>
  <c r="G13"/>
  <c r="G28" i="15"/>
  <c r="Z31" i="5" l="1"/>
  <c r="X36" i="15"/>
  <c r="AD36" s="1"/>
  <c r="X38"/>
  <c r="AD38" s="1"/>
  <c r="AB27"/>
  <c r="T27"/>
  <c r="L27"/>
  <c r="R27"/>
  <c r="X27"/>
  <c r="P27"/>
  <c r="AD27"/>
  <c r="V27"/>
  <c r="N27"/>
  <c r="Z27"/>
  <c r="X26" i="8" l="1"/>
  <c r="T26"/>
  <c r="P26"/>
  <c r="V21"/>
  <c r="AB13"/>
  <c r="X21" s="1"/>
  <c r="Z42"/>
  <c r="P42"/>
  <c r="N26"/>
  <c r="Z42" i="7"/>
  <c r="X26"/>
  <c r="T26"/>
  <c r="P26"/>
  <c r="V21"/>
  <c r="AB13"/>
  <c r="X21" s="1"/>
  <c r="P42"/>
  <c r="N26"/>
  <c r="T26" i="6"/>
  <c r="X26"/>
  <c r="P26"/>
  <c r="V21"/>
  <c r="AB13"/>
  <c r="R26"/>
  <c r="V31" i="5"/>
  <c r="X26"/>
  <c r="T26"/>
  <c r="P26"/>
  <c r="V21"/>
  <c r="AB13"/>
  <c r="R26"/>
  <c r="K19" i="10" l="1"/>
  <c r="R26" i="8"/>
  <c r="AB26" s="1"/>
  <c r="AB21"/>
  <c r="R26" i="7"/>
  <c r="AB26" s="1"/>
  <c r="AB21"/>
  <c r="X21" i="6"/>
  <c r="AB21"/>
  <c r="N26"/>
  <c r="AB26" s="1"/>
  <c r="X31" i="5"/>
  <c r="X21"/>
  <c r="AB21" s="1"/>
  <c r="N26"/>
  <c r="AB26" s="1"/>
  <c r="V35" s="1"/>
  <c r="K16" i="10"/>
  <c r="F14" i="12" l="1"/>
  <c r="AB30" i="8"/>
  <c r="AB30" i="7"/>
  <c r="AB30" i="6"/>
  <c r="H35" s="1"/>
  <c r="Z50" i="5"/>
  <c r="AB31"/>
  <c r="Z35" s="1"/>
  <c r="AB38" s="1"/>
  <c r="H42" s="1"/>
  <c r="AB35" i="6" l="1"/>
  <c r="T35"/>
  <c r="L35"/>
  <c r="Z35"/>
  <c r="R35"/>
  <c r="X35"/>
  <c r="P35"/>
  <c r="V35"/>
  <c r="N35"/>
  <c r="X42" i="7"/>
  <c r="AB42" s="1"/>
  <c r="H35"/>
  <c r="H35" i="8"/>
  <c r="N42"/>
  <c r="R42" s="1"/>
  <c r="X42"/>
  <c r="AB42" s="1"/>
  <c r="N42" i="7"/>
  <c r="R42" s="1"/>
  <c r="V50" i="5"/>
  <c r="AB50" s="1"/>
  <c r="AB35" i="7" l="1"/>
  <c r="T35"/>
  <c r="L35"/>
  <c r="Z35"/>
  <c r="R35"/>
  <c r="N35"/>
  <c r="X35"/>
  <c r="P35"/>
  <c r="V35"/>
  <c r="Z35" i="8"/>
  <c r="R35"/>
  <c r="X35"/>
  <c r="P35"/>
  <c r="V35"/>
  <c r="N35"/>
  <c r="AB35"/>
  <c r="T35"/>
  <c r="L35"/>
  <c r="Z43" i="5"/>
  <c r="R43"/>
  <c r="X43"/>
  <c r="P43"/>
  <c r="V43"/>
  <c r="N43"/>
  <c r="AB43"/>
  <c r="T43"/>
  <c r="L43"/>
</calcChain>
</file>

<file path=xl/comments1.xml><?xml version="1.0" encoding="utf-8"?>
<comments xmlns="http://schemas.openxmlformats.org/spreadsheetml/2006/main">
  <authors>
    <author>GerardvA</author>
  </authors>
  <commentList>
    <comment ref="K20" authorId="0">
      <text>
        <r>
          <rPr>
            <sz val="9"/>
            <color indexed="81"/>
            <rFont val="Tahoma"/>
            <family val="2"/>
          </rPr>
          <t xml:space="preserve">Calculation based on SOLICS or SOLCAL result
</t>
        </r>
      </text>
    </comment>
    <comment ref="K21" authorId="0">
      <text>
        <r>
          <rPr>
            <sz val="9"/>
            <color indexed="81"/>
            <rFont val="Tahoma"/>
            <family val="2"/>
          </rPr>
          <t xml:space="preserve">Calculation based on SOLICS or SOLCAL result
</t>
        </r>
      </text>
    </comment>
    <comment ref="K23" authorId="0">
      <text>
        <r>
          <rPr>
            <sz val="9"/>
            <color indexed="81"/>
            <rFont val="Tahoma"/>
            <family val="2"/>
          </rPr>
          <t>Calculated based on testresult of test of non-solar water heater
&amp; result of SOLICS or SOLCAL.</t>
        </r>
      </text>
    </comment>
    <comment ref="K24" authorId="0">
      <text>
        <r>
          <rPr>
            <sz val="9"/>
            <color indexed="81"/>
            <rFont val="Tahoma"/>
            <family val="2"/>
          </rPr>
          <t xml:space="preserve">Calculated based on testresult of test of non-solar water heater
&amp; result of SOLICS or SOLCAL.
</t>
        </r>
      </text>
    </comment>
    <comment ref="K25" authorId="0">
      <text>
        <r>
          <rPr>
            <sz val="9"/>
            <color indexed="81"/>
            <rFont val="Tahoma"/>
            <family val="2"/>
          </rPr>
          <t xml:space="preserve">Calculated based on testresult of test of non-solar water heater
&amp; result of SOLICS or SOLCAL.
</t>
        </r>
      </text>
    </comment>
  </commentList>
</comments>
</file>

<file path=xl/sharedStrings.xml><?xml version="1.0" encoding="utf-8"?>
<sst xmlns="http://schemas.openxmlformats.org/spreadsheetml/2006/main" count="1246" uniqueCount="499">
  <si>
    <t>[PaF-SH-boiler]</t>
  </si>
  <si>
    <t>[PaF-SH-cogenerator]</t>
  </si>
  <si>
    <t>[PaF-SH-heat pump]</t>
  </si>
  <si>
    <t>Hot water storage tank</t>
  </si>
  <si>
    <t>Solar water heater</t>
  </si>
  <si>
    <t>Product label:</t>
  </si>
  <si>
    <t>Package label:</t>
  </si>
  <si>
    <t>x</t>
  </si>
  <si>
    <t>Package fiches:</t>
  </si>
  <si>
    <t>Product fiches:</t>
  </si>
  <si>
    <t>[PaF-SH-LT heat pump]</t>
  </si>
  <si>
    <t>[PrF-Solar water heater]</t>
  </si>
  <si>
    <t>[PrF-hot water storage]</t>
  </si>
  <si>
    <t>Subject:</t>
  </si>
  <si>
    <t>Package fiche / Lot 2</t>
  </si>
  <si>
    <t>Device:</t>
  </si>
  <si>
    <t>Water heater and solar device</t>
  </si>
  <si>
    <t>vAConsult</t>
  </si>
  <si>
    <t>Document:</t>
  </si>
  <si>
    <t>06_Energy Labelling Water Heater-C 2013 818.pdf</t>
  </si>
  <si>
    <t>Complements SCF</t>
  </si>
  <si>
    <t>Selection of product components</t>
  </si>
  <si>
    <t>Part:</t>
  </si>
  <si>
    <t>Annex IV, point 4</t>
  </si>
  <si>
    <t>V1.0</t>
  </si>
  <si>
    <t>For internal use only!</t>
  </si>
  <si>
    <t>This sheet illustrates what items are in the product fiche and how it is assembled.</t>
  </si>
  <si>
    <t>Enter or select by user of the sheet</t>
  </si>
  <si>
    <t>Copied from technical documentation (TD)</t>
  </si>
  <si>
    <t>(Do not edit)</t>
  </si>
  <si>
    <t>Copied from product fiche (PF)</t>
  </si>
  <si>
    <t>Water heater (product fiche):</t>
  </si>
  <si>
    <t>'I'  [%]:</t>
  </si>
  <si>
    <t>❶</t>
  </si>
  <si>
    <t>Calculated</t>
  </si>
  <si>
    <t>Second best available [M]</t>
  </si>
  <si>
    <t>►</t>
  </si>
  <si>
    <t>Water heating energy efficiency of water heater</t>
  </si>
  <si>
    <t>'I'</t>
  </si>
  <si>
    <t>%</t>
  </si>
  <si>
    <t>Constants in the sheet</t>
  </si>
  <si>
    <t>Load Prof.:</t>
  </si>
  <si>
    <t>Declared load profile:</t>
  </si>
  <si>
    <t>Solar contribution</t>
  </si>
  <si>
    <t>Qnonsol</t>
  </si>
  <si>
    <t xml:space="preserve">Qaux  </t>
  </si>
  <si>
    <t>From fiche of solar device</t>
  </si>
  <si>
    <t>[kWh/a]</t>
  </si>
  <si>
    <t xml:space="preserve">'II' </t>
  </si>
  <si>
    <t>'III'</t>
  </si>
  <si>
    <t>❷</t>
  </si>
  <si>
    <t>(</t>
  </si>
  <si>
    <t>-</t>
  </si>
  <si>
    <t>) x</t>
  </si>
  <si>
    <t>=</t>
  </si>
  <si>
    <t>❸</t>
  </si>
  <si>
    <t>◄</t>
  </si>
  <si>
    <t>Water heating energy efficiency of package under average climate</t>
  </si>
  <si>
    <t>Class:</t>
  </si>
  <si>
    <t>G</t>
  </si>
  <si>
    <t>F</t>
  </si>
  <si>
    <t>E</t>
  </si>
  <si>
    <t>D</t>
  </si>
  <si>
    <t>C</t>
  </si>
  <si>
    <t>B</t>
  </si>
  <si>
    <t>A</t>
  </si>
  <si>
    <t>A+</t>
  </si>
  <si>
    <t>A++</t>
  </si>
  <si>
    <t>A+++</t>
  </si>
  <si>
    <t>M</t>
  </si>
  <si>
    <r>
      <rPr>
        <sz val="10"/>
        <color theme="1"/>
        <rFont val="Calibri"/>
        <family val="2"/>
      </rPr>
      <t>˂</t>
    </r>
    <r>
      <rPr>
        <sz val="10"/>
        <color theme="1"/>
        <rFont val="Arial"/>
        <family val="2"/>
      </rPr>
      <t>27%</t>
    </r>
  </si>
  <si>
    <t>≥27%</t>
  </si>
  <si>
    <t>≥30%</t>
  </si>
  <si>
    <t>≥33%</t>
  </si>
  <si>
    <t>≥36%</t>
  </si>
  <si>
    <t>≥39%</t>
  </si>
  <si>
    <t>≥65%</t>
  </si>
  <si>
    <t>≥100%</t>
  </si>
  <si>
    <t>≥130%</t>
  </si>
  <si>
    <t>≥163%</t>
  </si>
  <si>
    <t>L</t>
  </si>
  <si>
    <t>˂27%</t>
  </si>
  <si>
    <t>≥34%</t>
  </si>
  <si>
    <t>≥37%</t>
  </si>
  <si>
    <t>≥50%</t>
  </si>
  <si>
    <t>≥75%</t>
  </si>
  <si>
    <t>≥115%</t>
  </si>
  <si>
    <t>≥150%</t>
  </si>
  <si>
    <t>≥188%</t>
  </si>
  <si>
    <t>XL</t>
  </si>
  <si>
    <t>≥35%</t>
  </si>
  <si>
    <t>≥38%</t>
  </si>
  <si>
    <t>≥55%</t>
  </si>
  <si>
    <t>≥80%</t>
  </si>
  <si>
    <t>≥123%</t>
  </si>
  <si>
    <t>≥160%</t>
  </si>
  <si>
    <t>≥200%</t>
  </si>
  <si>
    <t>XXL</t>
  </si>
  <si>
    <t>˂28%</t>
  </si>
  <si>
    <t>≥28%</t>
  </si>
  <si>
    <t>≥32%</t>
  </si>
  <si>
    <t>≥40%</t>
  </si>
  <si>
    <t>≥60%</t>
  </si>
  <si>
    <t>≥85%</t>
  </si>
  <si>
    <t>≥131%</t>
  </si>
  <si>
    <t>≥170%</t>
  </si>
  <si>
    <t>≥213%</t>
  </si>
  <si>
    <t>The technical documentation contains test results and other relevant specifications.</t>
  </si>
  <si>
    <t>Water heating energy efficiency under colder and warmer climate conditions:</t>
  </si>
  <si>
    <t>The product fiche is assembled from one or more technical documents or product fiches</t>
  </si>
  <si>
    <t>A trial database with illustrative data from technical documents is added to the sheet.</t>
  </si>
  <si>
    <t>Colder:</t>
  </si>
  <si>
    <t>0,2</t>
  </si>
  <si>
    <t>User defined entrees can be added by com0pleting the green cells in the trial database.</t>
  </si>
  <si>
    <t>Warmer:</t>
  </si>
  <si>
    <t>+</t>
  </si>
  <si>
    <t>0,4</t>
  </si>
  <si>
    <t>Declared</t>
  </si>
  <si>
    <t>Data extracted from fiche</t>
  </si>
  <si>
    <t>Load</t>
  </si>
  <si>
    <t>Water heaters:</t>
  </si>
  <si>
    <t>[%]</t>
  </si>
  <si>
    <t>Profile</t>
  </si>
  <si>
    <t>Best available [M]</t>
  </si>
  <si>
    <t>Best available [L]</t>
  </si>
  <si>
    <t>Best available [XL]</t>
  </si>
  <si>
    <t>Best available [XXL]</t>
  </si>
  <si>
    <t>Second best available [L]</t>
  </si>
  <si>
    <t>Second best available [XL]</t>
  </si>
  <si>
    <t>Second best available [XXL]</t>
  </si>
  <si>
    <t>Average water heater [M]</t>
  </si>
  <si>
    <t>Average water heater [L]</t>
  </si>
  <si>
    <t>Average water heater [XL]</t>
  </si>
  <si>
    <t>Average water heater [XXL]</t>
  </si>
  <si>
    <t>Bad water heater [M]</t>
  </si>
  <si>
    <t>Bad water heater [L]</t>
  </si>
  <si>
    <t>Bad water heater [XL]</t>
  </si>
  <si>
    <t>Bad water heater [XXL]</t>
  </si>
  <si>
    <t>User defined 1</t>
  </si>
  <si>
    <t>User defined 2</t>
  </si>
  <si>
    <t>User defined 3</t>
  </si>
  <si>
    <t>User defined 4</t>
  </si>
  <si>
    <t>solpump</t>
  </si>
  <si>
    <t>solsb</t>
  </si>
  <si>
    <t>[W]</t>
  </si>
  <si>
    <t>User definied 1</t>
  </si>
  <si>
    <t>User definied 2</t>
  </si>
  <si>
    <t>User definied 3</t>
  </si>
  <si>
    <t>User definied 4</t>
  </si>
  <si>
    <t>User definied 5</t>
  </si>
  <si>
    <t>User definied 6</t>
  </si>
  <si>
    <t>Package fiche / Lot 1</t>
  </si>
  <si>
    <t>Solar space heater or combi heater</t>
  </si>
  <si>
    <t>05_Energy Labelling Space and Combi Heater-C 2013 817.pdf</t>
  </si>
  <si>
    <t>Annex IV, point 5, 6 &amp; figure 1</t>
  </si>
  <si>
    <t>Boiler space heater (product fiche):</t>
  </si>
  <si>
    <r>
      <t>P</t>
    </r>
    <r>
      <rPr>
        <vertAlign val="subscript"/>
        <sz val="10"/>
        <rFont val="Arial"/>
        <family val="2"/>
      </rPr>
      <t>rated</t>
    </r>
    <r>
      <rPr>
        <sz val="10"/>
        <rFont val="Arial"/>
        <family val="2"/>
      </rPr>
      <t xml:space="preserve"> [kW]</t>
    </r>
  </si>
  <si>
    <t>'I' [%]</t>
  </si>
  <si>
    <t>ComfHeat Exclusive 20</t>
  </si>
  <si>
    <t>Seasonal space heating energy efficiency of boiler (%)</t>
  </si>
  <si>
    <t>Temperature control technical documentation):</t>
  </si>
  <si>
    <t>MultiControl Class IV</t>
  </si>
  <si>
    <t>Temperature control</t>
  </si>
  <si>
    <t xml:space="preserve">From fiche of temperature control: </t>
  </si>
  <si>
    <t>\</t>
  </si>
  <si>
    <t>Supplementary boiler (product fiche):</t>
  </si>
  <si>
    <r>
      <t>ɳ</t>
    </r>
    <r>
      <rPr>
        <vertAlign val="subscript"/>
        <sz val="10"/>
        <rFont val="Arial"/>
        <family val="2"/>
      </rPr>
      <t>sys</t>
    </r>
    <r>
      <rPr>
        <sz val="10"/>
        <rFont val="Arial"/>
        <family val="2"/>
      </rPr>
      <t xml:space="preserve"> [%]</t>
    </r>
  </si>
  <si>
    <t>Supplementary boiler</t>
  </si>
  <si>
    <t>Seasonal space heating energy efficiency (in %)</t>
  </si>
  <si>
    <t>None</t>
  </si>
  <si>
    <t>From fiche of second boiler</t>
  </si>
  <si>
    <t>Solar collector (product fiche):</t>
  </si>
  <si>
    <r>
      <t>A</t>
    </r>
    <r>
      <rPr>
        <vertAlign val="subscript"/>
        <sz val="10"/>
        <rFont val="Arial"/>
        <family val="2"/>
      </rPr>
      <t>col</t>
    </r>
    <r>
      <rPr>
        <sz val="10"/>
        <rFont val="Arial"/>
        <family val="2"/>
      </rPr>
      <t xml:space="preserve"> [m2]</t>
    </r>
  </si>
  <si>
    <r>
      <t>ɳ</t>
    </r>
    <r>
      <rPr>
        <vertAlign val="subscript"/>
        <sz val="10"/>
        <rFont val="Arial"/>
        <family val="2"/>
      </rPr>
      <t>col</t>
    </r>
    <r>
      <rPr>
        <sz val="10"/>
        <rFont val="Arial"/>
        <family val="2"/>
      </rPr>
      <t xml:space="preserve"> [%]</t>
    </r>
  </si>
  <si>
    <t>SunCol Exclusive 10</t>
  </si>
  <si>
    <r>
      <t>Solar contribution.</t>
    </r>
    <r>
      <rPr>
        <sz val="9"/>
        <rFont val="Arial"/>
        <family val="2"/>
      </rPr>
      <t xml:space="preserve"> From fiches of solar-only system</t>
    </r>
  </si>
  <si>
    <t>Heat storage tank (product fiche):</t>
  </si>
  <si>
    <r>
      <t>V</t>
    </r>
    <r>
      <rPr>
        <vertAlign val="subscript"/>
        <sz val="10"/>
        <rFont val="Arial"/>
        <family val="2"/>
      </rPr>
      <t>sto</t>
    </r>
    <r>
      <rPr>
        <sz val="10"/>
        <rFont val="Arial"/>
        <family val="2"/>
      </rPr>
      <t xml:space="preserve"> [m3]</t>
    </r>
  </si>
  <si>
    <t>Label:</t>
  </si>
  <si>
    <t>'III':</t>
  </si>
  <si>
    <r>
      <t>Acol [m</t>
    </r>
    <r>
      <rPr>
        <vertAlign val="superscript"/>
        <sz val="10"/>
        <rFont val="Arial"/>
        <family val="2"/>
      </rPr>
      <t>2</t>
    </r>
    <r>
      <rPr>
        <sz val="10"/>
        <rFont val="Arial"/>
        <family val="2"/>
      </rPr>
      <t>]</t>
    </r>
  </si>
  <si>
    <t>'IV'</t>
  </si>
  <si>
    <r>
      <t>Vstore [m</t>
    </r>
    <r>
      <rPr>
        <vertAlign val="superscript"/>
        <sz val="10"/>
        <rFont val="Arial"/>
        <family val="2"/>
      </rPr>
      <t>3</t>
    </r>
    <r>
      <rPr>
        <sz val="10"/>
        <rFont val="Arial"/>
        <family val="2"/>
      </rPr>
      <t>]</t>
    </r>
  </si>
  <si>
    <r>
      <t>η</t>
    </r>
    <r>
      <rPr>
        <vertAlign val="subscript"/>
        <sz val="10"/>
        <rFont val="Arial"/>
        <family val="2"/>
      </rPr>
      <t>c</t>
    </r>
    <r>
      <rPr>
        <sz val="10"/>
        <rFont val="Arial"/>
        <family val="2"/>
      </rPr>
      <t xml:space="preserve"> [-]</t>
    </r>
  </si>
  <si>
    <t>Tank rating</t>
  </si>
  <si>
    <t>❹</t>
  </si>
  <si>
    <t>SunTop 500-C</t>
  </si>
  <si>
    <t>Supplementary heat pump (product fiche):</t>
  </si>
  <si>
    <t>Prated [kW]</t>
  </si>
  <si>
    <r>
      <t>ɳ</t>
    </r>
    <r>
      <rPr>
        <vertAlign val="subscript"/>
        <sz val="10"/>
        <rFont val="Arial"/>
        <family val="2"/>
      </rPr>
      <t xml:space="preserve">sys </t>
    </r>
    <r>
      <rPr>
        <sz val="10"/>
        <rFont val="Arial"/>
        <family val="2"/>
      </rPr>
      <t>[%]</t>
    </r>
  </si>
  <si>
    <t>Supplementary heat pump</t>
  </si>
  <si>
    <t>From fiche of heat pump</t>
  </si>
  <si>
    <t>'II'</t>
  </si>
  <si>
    <t>❺</t>
  </si>
  <si>
    <t>with hot water storage tank?</t>
  </si>
  <si>
    <t>Yes</t>
  </si>
  <si>
    <t>installed  LT emittors at 35 oC?</t>
  </si>
  <si>
    <t>Solar contribution AND supplementary heat pump</t>
  </si>
  <si>
    <t>❻</t>
  </si>
  <si>
    <t>Select smaller value</t>
  </si>
  <si>
    <t>OR</t>
  </si>
  <si>
    <t>❼</t>
  </si>
  <si>
    <t>Seasonal space heating energy efficiency of package</t>
  </si>
  <si>
    <t>Seasonal space heating energy efficiency class of package</t>
  </si>
  <si>
    <t>≥ 30%</t>
  </si>
  <si>
    <t>≥ 34%</t>
  </si>
  <si>
    <t>≥ 75%</t>
  </si>
  <si>
    <t>≥ 82%</t>
  </si>
  <si>
    <t>≥ 90%</t>
  </si>
  <si>
    <t>≥ 98%</t>
  </si>
  <si>
    <t>≥ 125%</t>
  </si>
  <si>
    <t>≥ 150%</t>
  </si>
  <si>
    <t xml:space="preserve">Boiler and supplementary heat pump installed </t>
  </si>
  <si>
    <t>with low temperature heat emitters at 35 oC?</t>
  </si>
  <si>
    <t>+ (</t>
  </si>
  <si>
    <t>) =</t>
  </si>
  <si>
    <t>Prated</t>
  </si>
  <si>
    <t>Boiler types for space heating:</t>
  </si>
  <si>
    <t>[kW]</t>
  </si>
  <si>
    <t>ComfHeat Exclusive 5</t>
  </si>
  <si>
    <t>ComfHeat Exclusive 10</t>
  </si>
  <si>
    <t>ComfHeat Exclusive 30</t>
  </si>
  <si>
    <t>ComfHeat Premium 5</t>
  </si>
  <si>
    <t>ComfHeat Premium 10</t>
  </si>
  <si>
    <t>ComfHeat Premium 20</t>
  </si>
  <si>
    <t>Data from the Eco design methods</t>
  </si>
  <si>
    <t>ComfHeat Premium 30</t>
  </si>
  <si>
    <t>(not to be editted!)</t>
  </si>
  <si>
    <t>Value:</t>
  </si>
  <si>
    <t>I</t>
  </si>
  <si>
    <t>Rating</t>
  </si>
  <si>
    <t>II</t>
  </si>
  <si>
    <t>III</t>
  </si>
  <si>
    <t>MultiControl Class I</t>
  </si>
  <si>
    <t>IV</t>
  </si>
  <si>
    <t>MultiControl Class II</t>
  </si>
  <si>
    <t>V</t>
  </si>
  <si>
    <t>MultiControl Class III</t>
  </si>
  <si>
    <t>VI</t>
  </si>
  <si>
    <t>VII</t>
  </si>
  <si>
    <t>MultiControl Class V</t>
  </si>
  <si>
    <t>VIII</t>
  </si>
  <si>
    <t>MultiControl Class VI</t>
  </si>
  <si>
    <t>MultiControl Class VII</t>
  </si>
  <si>
    <t>MultiControl Class VIII</t>
  </si>
  <si>
    <t xml:space="preserve">A </t>
  </si>
  <si>
    <t>'V'</t>
  </si>
  <si>
    <t>'VI'</t>
  </si>
  <si>
    <t>Heat pump types for space heating:</t>
  </si>
  <si>
    <t>TopupHeat Excelent 5</t>
  </si>
  <si>
    <t>TopupHeat Excelent 10</t>
  </si>
  <si>
    <t>TopupHeat Excelent 15</t>
  </si>
  <si>
    <t>TopupHeat Premium 5</t>
  </si>
  <si>
    <t>TopupHeat Premium 10</t>
  </si>
  <si>
    <t>TopupHeat Premium 15</t>
  </si>
  <si>
    <t>Table 5 - weighting</t>
  </si>
  <si>
    <t>Storage</t>
  </si>
  <si>
    <t>TopupHeat 5</t>
  </si>
  <si>
    <t>Psup/(Prated+Psup)</t>
  </si>
  <si>
    <t>No</t>
  </si>
  <si>
    <t>TopupHeat 10</t>
  </si>
  <si>
    <t>TopupHeat 15</t>
  </si>
  <si>
    <t>Acol</t>
  </si>
  <si>
    <t xml:space="preserve">ɳc </t>
  </si>
  <si>
    <t>Solar collectors:</t>
  </si>
  <si>
    <t>[m2]</t>
  </si>
  <si>
    <t>SunCol Exclusive 5</t>
  </si>
  <si>
    <t>Table 6 - weighting</t>
  </si>
  <si>
    <t>Prated/(Prated+Psup)</t>
  </si>
  <si>
    <t>SunCol Exclusive 15</t>
  </si>
  <si>
    <t>SunCol Premium 5</t>
  </si>
  <si>
    <t>SunCol Premium 10</t>
  </si>
  <si>
    <t>SunCol Premium 15</t>
  </si>
  <si>
    <t>User defined 5</t>
  </si>
  <si>
    <t>User defined 6</t>
  </si>
  <si>
    <t>User defined 7</t>
  </si>
  <si>
    <t>Vnom</t>
  </si>
  <si>
    <t>Label</t>
  </si>
  <si>
    <t>[litres]</t>
  </si>
  <si>
    <t>class</t>
  </si>
  <si>
    <t>Table 1</t>
  </si>
  <si>
    <t>Table 2</t>
  </si>
  <si>
    <t>SunTop 250-B</t>
  </si>
  <si>
    <t>ɳsys</t>
  </si>
  <si>
    <t>SunTop 500-B</t>
  </si>
  <si>
    <t>SunTop 500-D</t>
  </si>
  <si>
    <t>Preferential cogeneration space heater</t>
  </si>
  <si>
    <t>Annex IV, point 5 &amp; figure 2</t>
  </si>
  <si>
    <t>Cogeneration space heater (product fiche):</t>
  </si>
  <si>
    <t>CoGen Exclusive 10</t>
  </si>
  <si>
    <t>Seasonal space heating energy efficiency of cogeneration space heater (%)</t>
  </si>
  <si>
    <t>Temperature control (technical document):</t>
  </si>
  <si>
    <t>From fiche of  boiler</t>
  </si>
  <si>
    <t>Cogeneration types for space heating:</t>
  </si>
  <si>
    <t>CoGen Exclusive 5</t>
  </si>
  <si>
    <t>CoGen Exclusive 20</t>
  </si>
  <si>
    <t>CoGen Exclusive 30</t>
  </si>
  <si>
    <t>Cogen Premium 5</t>
  </si>
  <si>
    <t>Cogen Premium 10</t>
  </si>
  <si>
    <t>Cogen Premium 20</t>
  </si>
  <si>
    <t>Cogen Premium 30</t>
  </si>
  <si>
    <t>Preferential heat pump space heater</t>
  </si>
  <si>
    <t>Annex IV, point 5, 6 &amp; figure 3</t>
  </si>
  <si>
    <t>Heat pump space heater (product fiche):</t>
  </si>
  <si>
    <t>'V' [%]</t>
  </si>
  <si>
    <t>'VI' [%]</t>
  </si>
  <si>
    <t>Seasonal space heating energy efficiency of heat pump (%)</t>
  </si>
  <si>
    <t>Seasonal space heating energy efficiency under colder and warmer climate conditions</t>
  </si>
  <si>
    <t xml:space="preserve">Warmer: </t>
  </si>
  <si>
    <t>Preferential low temperature heat pump space heater</t>
  </si>
  <si>
    <t>Annex IV, point 5 &amp; figure 4</t>
  </si>
  <si>
    <t>Temperature control (technical documentation):</t>
  </si>
  <si>
    <t>Back to index</t>
  </si>
  <si>
    <t>[PaF-water heater]</t>
  </si>
  <si>
    <t>Product fiche</t>
  </si>
  <si>
    <t>Title:</t>
  </si>
  <si>
    <t>Ref.:</t>
  </si>
  <si>
    <t>Description:</t>
  </si>
  <si>
    <t>Value(s):</t>
  </si>
  <si>
    <t>Symbol:</t>
  </si>
  <si>
    <t>a</t>
  </si>
  <si>
    <t>Supplier's name or trade mark:</t>
  </si>
  <si>
    <t>b</t>
  </si>
  <si>
    <t>Supplier's model identifier:</t>
  </si>
  <si>
    <t>c</t>
  </si>
  <si>
    <t>d</t>
  </si>
  <si>
    <t>SunTop 300-C</t>
  </si>
  <si>
    <t>e</t>
  </si>
  <si>
    <t>f</t>
  </si>
  <si>
    <t>S</t>
  </si>
  <si>
    <t>litres</t>
  </si>
  <si>
    <t>Vsto</t>
  </si>
  <si>
    <t>h</t>
  </si>
  <si>
    <t>i</t>
  </si>
  <si>
    <t>Pump power consumption:</t>
  </si>
  <si>
    <t>W</t>
  </si>
  <si>
    <t>j</t>
  </si>
  <si>
    <t>Standby power consumption:</t>
  </si>
  <si>
    <t>k</t>
  </si>
  <si>
    <t>SunTop 150-B</t>
  </si>
  <si>
    <t>SunTop 150-C</t>
  </si>
  <si>
    <t>SunTop 150-D</t>
  </si>
  <si>
    <t>SunTop 300-B</t>
  </si>
  <si>
    <t>SunTop 300-D</t>
  </si>
  <si>
    <t>SunTop 400-C</t>
  </si>
  <si>
    <t>SolarStore150 A</t>
  </si>
  <si>
    <t>SolarStore 200 A</t>
  </si>
  <si>
    <t>SolarStore 300 A</t>
  </si>
  <si>
    <t>SolarStore 400 A</t>
  </si>
  <si>
    <t>Solar water heaters</t>
  </si>
  <si>
    <t>Annex IV, point 1</t>
  </si>
  <si>
    <t>A.VII,T.2</t>
  </si>
  <si>
    <t>Water heating energy efficiency class:</t>
  </si>
  <si>
    <t>A.II, P.1</t>
  </si>
  <si>
    <t>Water heating energy efficiency:</t>
  </si>
  <si>
    <t xml:space="preserve">            the appropriate data is extracted from the technical documentation</t>
  </si>
  <si>
    <t>Average climate</t>
  </si>
  <si>
    <t>A.VII, p.3</t>
  </si>
  <si>
    <t>m</t>
  </si>
  <si>
    <t>Colder climate:</t>
  </si>
  <si>
    <t>Warmer climate:</t>
  </si>
  <si>
    <t>Annual electricity / fuel consumption:</t>
  </si>
  <si>
    <t>n</t>
  </si>
  <si>
    <t>GJ or kWh</t>
  </si>
  <si>
    <t>A.VIII, p4</t>
  </si>
  <si>
    <t>Thermostat setting:</t>
  </si>
  <si>
    <t>oC</t>
  </si>
  <si>
    <t>Sound power level (indoor):</t>
  </si>
  <si>
    <t>dB</t>
  </si>
  <si>
    <t>Lwa</t>
  </si>
  <si>
    <t>Only operative during off-peak hours:</t>
  </si>
  <si>
    <t>Precautions during mounting / .. :</t>
  </si>
  <si>
    <t>l</t>
  </si>
  <si>
    <t>…</t>
  </si>
  <si>
    <t>o</t>
  </si>
  <si>
    <t>Collector apperture area:</t>
  </si>
  <si>
    <r>
      <t>m</t>
    </r>
    <r>
      <rPr>
        <vertAlign val="superscript"/>
        <sz val="10"/>
        <color theme="1"/>
        <rFont val="Arial"/>
        <family val="2"/>
      </rPr>
      <t>2</t>
    </r>
  </si>
  <si>
    <t>Asol</t>
  </si>
  <si>
    <t>p</t>
  </si>
  <si>
    <t>Zero loss efficiency:</t>
  </si>
  <si>
    <t>ɳo</t>
  </si>
  <si>
    <t>q</t>
  </si>
  <si>
    <t>First order coefficient:</t>
  </si>
  <si>
    <r>
      <t>W/(m</t>
    </r>
    <r>
      <rPr>
        <vertAlign val="superscript"/>
        <sz val="10"/>
        <color theme="1"/>
        <rFont val="Arial"/>
        <family val="2"/>
      </rPr>
      <t>2</t>
    </r>
    <r>
      <rPr>
        <sz val="11"/>
        <color theme="1"/>
        <rFont val="Calibri"/>
        <family val="2"/>
        <scheme val="minor"/>
      </rPr>
      <t>K)</t>
    </r>
  </si>
  <si>
    <t>a1</t>
  </si>
  <si>
    <t>r</t>
  </si>
  <si>
    <t>Second order coefficient:</t>
  </si>
  <si>
    <r>
      <t>W/(m</t>
    </r>
    <r>
      <rPr>
        <vertAlign val="superscript"/>
        <sz val="10"/>
        <color theme="1"/>
        <rFont val="Arial"/>
        <family val="2"/>
      </rPr>
      <t>2</t>
    </r>
    <r>
      <rPr>
        <sz val="11"/>
        <color theme="1"/>
        <rFont val="Calibri"/>
        <family val="2"/>
        <scheme val="minor"/>
      </rPr>
      <t>K</t>
    </r>
    <r>
      <rPr>
        <vertAlign val="superscript"/>
        <sz val="10"/>
        <color theme="1"/>
        <rFont val="Arial"/>
        <family val="2"/>
      </rPr>
      <t>2</t>
    </r>
    <r>
      <rPr>
        <sz val="11"/>
        <color theme="1"/>
        <rFont val="Calibri"/>
        <family val="2"/>
        <scheme val="minor"/>
      </rPr>
      <t>)</t>
    </r>
  </si>
  <si>
    <t>a2</t>
  </si>
  <si>
    <t>s</t>
  </si>
  <si>
    <t>Incidence angle modifier:</t>
  </si>
  <si>
    <t>IAM</t>
  </si>
  <si>
    <t>t</t>
  </si>
  <si>
    <t>Storage volume (nominal):</t>
  </si>
  <si>
    <t>u</t>
  </si>
  <si>
    <t>v</t>
  </si>
  <si>
    <t>Load Profile:</t>
  </si>
  <si>
    <t>Qref.:</t>
  </si>
  <si>
    <t>Annex IV, point 2</t>
  </si>
  <si>
    <t>Fiche for hot water storage tanks</t>
  </si>
  <si>
    <t>Heat storage tank (technical documentation):</t>
  </si>
  <si>
    <t>Energy efficiency class:</t>
  </si>
  <si>
    <t>Standing loss</t>
  </si>
  <si>
    <t>W (at 45K)</t>
  </si>
  <si>
    <t>Storage volume</t>
  </si>
  <si>
    <t>Step 1: Select a brand / type from a list of technical documents</t>
  </si>
  <si>
    <t>Step 2: The product fiche is automatically filled in and the energy class is detemined</t>
  </si>
  <si>
    <t>Table 2, annex II, Lot 2</t>
  </si>
  <si>
    <t>V =</t>
  </si>
  <si>
    <t>solpmp =</t>
  </si>
  <si>
    <t>fsolar =</t>
  </si>
  <si>
    <t>solsb =</t>
  </si>
  <si>
    <t>at heat demand =</t>
  </si>
  <si>
    <t>Power pump and control:</t>
  </si>
  <si>
    <t>Select solar fraction:</t>
  </si>
  <si>
    <t>kWh/a (10/60K)</t>
  </si>
  <si>
    <t>The Qnonsol and Qaux should come from an apropriate fiche.</t>
  </si>
  <si>
    <t>Energy efficiency other load profiles</t>
  </si>
  <si>
    <t>ɳwh,nonsol</t>
  </si>
  <si>
    <t xml:space="preserve">ɳwh,nonsol = </t>
  </si>
  <si>
    <t>fsolar:</t>
  </si>
  <si>
    <t>(Electrical heater &lt; 40%)</t>
  </si>
  <si>
    <t>ɳwh=</t>
  </si>
  <si>
    <t>Load profile:</t>
  </si>
  <si>
    <t>Annex II -Energye efficiency classes - table 1 (18/2/2013)</t>
  </si>
  <si>
    <t>Water heaters</t>
  </si>
  <si>
    <t xml:space="preserve">Sheet contstants: ' YesNo' </t>
  </si>
  <si>
    <t>Selection solar water heater through fsolar:</t>
  </si>
  <si>
    <r>
      <rPr>
        <sz val="11"/>
        <color theme="1"/>
        <rFont val="Arial"/>
        <family val="2"/>
      </rPr>
      <t>Product fiche</t>
    </r>
    <r>
      <rPr>
        <b/>
        <sz val="11"/>
        <color theme="1"/>
        <rFont val="Arial"/>
        <family val="2"/>
      </rPr>
      <t>: Solar water heater</t>
    </r>
  </si>
  <si>
    <t>The product label for solar water heaters is based on the data on this fiche</t>
  </si>
  <si>
    <t>For explainatory use only!</t>
  </si>
  <si>
    <t>General instructions for use of the sheet:</t>
  </si>
  <si>
    <t>== Selection lists for inputs in the sheet ==</t>
  </si>
  <si>
    <r>
      <rPr>
        <sz val="11"/>
        <color theme="1"/>
        <rFont val="Arial"/>
        <family val="2"/>
      </rPr>
      <t>Product fiche</t>
    </r>
    <r>
      <rPr>
        <b/>
        <sz val="11"/>
        <color theme="1"/>
        <rFont val="Arial"/>
        <family val="2"/>
      </rPr>
      <t>: Hot water storage tank</t>
    </r>
  </si>
  <si>
    <t>The product label for hot water storage tanks is based on the data on this fiche</t>
  </si>
  <si>
    <t>Data extracted from technical document</t>
  </si>
  <si>
    <t>Hot water storage tanks</t>
  </si>
  <si>
    <t>ltr</t>
  </si>
  <si>
    <t>Select components for the</t>
  </si>
  <si>
    <t>package</t>
  </si>
  <si>
    <t>Specifications extracted from</t>
  </si>
  <si>
    <t>product fiches</t>
  </si>
  <si>
    <t>This sheet illustrates what items are in the package fiche and how it is assembled.</t>
  </si>
  <si>
    <t>The energy label is created from the data in the package fiche.</t>
  </si>
  <si>
    <t>Tank rating package label SH</t>
  </si>
  <si>
    <t>Annex II SH</t>
  </si>
  <si>
    <t>Space heaters:</t>
  </si>
  <si>
    <t>Preferential boiler</t>
  </si>
  <si>
    <t>Preferential cogenerator</t>
  </si>
  <si>
    <t>Preferential heat pump</t>
  </si>
  <si>
    <t>Preferential low temperature heat pump</t>
  </si>
  <si>
    <t>Combination heaters:</t>
  </si>
  <si>
    <t>Based on boiler</t>
  </si>
  <si>
    <t>Based on heat pump</t>
  </si>
  <si>
    <t>&amp;</t>
  </si>
  <si>
    <t>Hot water storage tanks:</t>
  </si>
  <si>
    <t>○</t>
  </si>
  <si>
    <t>All types</t>
  </si>
  <si>
    <t>Index of implemented fiches:</t>
  </si>
  <si>
    <t>Links (click to go):</t>
  </si>
  <si>
    <t>Eco design energy labeling implementation solar thermal</t>
  </si>
  <si>
    <t>Reference:</t>
  </si>
  <si>
    <t>February 2013 distrbution of documents</t>
  </si>
  <si>
    <t>Fiches</t>
  </si>
  <si>
    <t>Implemented:</t>
  </si>
  <si>
    <t>Complements of SCF</t>
  </si>
  <si>
    <t>Storage: Yes</t>
  </si>
  <si>
    <t>Storage: No</t>
  </si>
  <si>
    <t>Intermediate step apllication</t>
  </si>
  <si>
    <t>(interpolation)</t>
  </si>
  <si>
    <t>V2.0</t>
  </si>
  <si>
    <t>Revision log:</t>
  </si>
  <si>
    <t>- 15/5/2013: calculation 'II' revised by adding interpolation</t>
  </si>
  <si>
    <t>- Table 5 &amp; 6 expanded with support values for interpolation</t>
  </si>
  <si>
    <t>V2.1</t>
  </si>
  <si>
    <t>- 21/5/2013: G27 /1000 and not /100</t>
  </si>
  <si>
    <t>- 21/5/2013: B/C14 'with hot water storage'  removed'.</t>
  </si>
  <si>
    <t>Seasonal space heating energy efficiency of package under average climate</t>
  </si>
  <si>
    <t>Seasonal space heating energy efficiency class of package under average climate</t>
  </si>
  <si>
    <t>- 21/5/2013: K30/33 added ' under average climate'</t>
  </si>
  <si>
    <t>≥ 55%</t>
  </si>
  <si>
    <t>≥ 59%</t>
  </si>
  <si>
    <t>≥ 61%</t>
  </si>
  <si>
    <t>≥ 100%</t>
  </si>
  <si>
    <t>≥ 107%</t>
  </si>
  <si>
    <t>≥ 115%</t>
  </si>
  <si>
    <t>≥ 123%</t>
  </si>
  <si>
    <t>≥ 175%</t>
  </si>
  <si>
    <t>Seasonal space heating energy efficiency of low temperature heat pump (%)</t>
  </si>
  <si>
    <t>≥ 37%</t>
  </si>
  <si>
    <t>V2.2</t>
  </si>
  <si>
    <t>- 4/6/2013: Z21 ('II') G13 -&gt; E13</t>
  </si>
  <si>
    <t xml:space="preserve">- 21/5/2013: K13 added 'of low temperature' </t>
  </si>
  <si>
    <t>V1.1</t>
  </si>
  <si>
    <t>- 4/6/2013: C23 Qref =&gt; (Qref+1.09)</t>
  </si>
  <si>
    <t>- 4/6/2013: C20 Qref =&gt; (Qref+1.09)</t>
  </si>
  <si>
    <t xml:space="preserve">The beneath implementation is for demonstron purproses only </t>
  </si>
  <si>
    <t>and limitted to pre heat systems</t>
  </si>
  <si>
    <t>- 4/6/2013 Added limitation to pre heat systems</t>
  </si>
</sst>
</file>

<file path=xl/styles.xml><?xml version="1.0" encoding="utf-8"?>
<styleSheet xmlns="http://schemas.openxmlformats.org/spreadsheetml/2006/main">
  <numFmts count="3">
    <numFmt numFmtId="43" formatCode="_-* #,##0.00_-;\-* #,##0.00_-;_-* &quot;-&quot;??_-;_-@_-"/>
    <numFmt numFmtId="164" formatCode="0.0"/>
    <numFmt numFmtId="165" formatCode="0.000"/>
  </numFmts>
  <fonts count="47">
    <font>
      <sz val="11"/>
      <color theme="1"/>
      <name val="Calibri"/>
      <family val="2"/>
      <scheme val="minor"/>
    </font>
    <font>
      <sz val="11"/>
      <color theme="1"/>
      <name val="Calibri"/>
      <family val="2"/>
      <scheme val="minor"/>
    </font>
    <font>
      <sz val="10"/>
      <name val="Myriad Pro"/>
      <family val="2"/>
    </font>
    <font>
      <sz val="10"/>
      <name val="Arial"/>
      <family val="2"/>
    </font>
    <font>
      <i/>
      <sz val="10"/>
      <color theme="1"/>
      <name val="Arial"/>
      <family val="2"/>
    </font>
    <font>
      <sz val="10"/>
      <color theme="4" tint="-0.249977111117893"/>
      <name val="Arial"/>
      <family val="2"/>
    </font>
    <font>
      <sz val="10"/>
      <color theme="4" tint="-0.249977111117893"/>
      <name val="Myriad Pro"/>
      <family val="2"/>
    </font>
    <font>
      <i/>
      <sz val="9"/>
      <color theme="4" tint="-0.249977111117893"/>
      <name val="Arial"/>
      <family val="2"/>
    </font>
    <font>
      <i/>
      <sz val="10"/>
      <color theme="4" tint="-0.249977111117893"/>
      <name val="Arial"/>
      <family val="2"/>
    </font>
    <font>
      <sz val="10"/>
      <color theme="1"/>
      <name val="Arial"/>
      <family val="2"/>
    </font>
    <font>
      <i/>
      <sz val="10"/>
      <color theme="4" tint="0.39997558519241921"/>
      <name val="Arial"/>
      <family val="2"/>
    </font>
    <font>
      <sz val="10"/>
      <color rgb="FF00B0F0"/>
      <name val="Calibri"/>
      <family val="2"/>
    </font>
    <font>
      <sz val="10"/>
      <color rgb="FF00B050"/>
      <name val="Arial"/>
      <family val="2"/>
    </font>
    <font>
      <i/>
      <sz val="10"/>
      <name val="Myriad Pro"/>
    </font>
    <font>
      <vertAlign val="subscript"/>
      <sz val="10"/>
      <name val="Arial"/>
      <family val="2"/>
    </font>
    <font>
      <sz val="10"/>
      <color theme="0"/>
      <name val="Arial"/>
      <family val="2"/>
    </font>
    <font>
      <sz val="10"/>
      <color theme="0"/>
      <name val="Myriad Pro"/>
      <family val="2"/>
    </font>
    <font>
      <sz val="10"/>
      <color theme="1"/>
      <name val="Calibri"/>
      <family val="2"/>
    </font>
    <font>
      <sz val="10"/>
      <color rgb="FF00B0F0"/>
      <name val="Arial"/>
      <family val="2"/>
    </font>
    <font>
      <i/>
      <sz val="10"/>
      <name val="Arial"/>
      <family val="2"/>
    </font>
    <font>
      <b/>
      <sz val="10"/>
      <name val="Arial"/>
      <family val="2"/>
    </font>
    <font>
      <b/>
      <sz val="10"/>
      <color theme="1"/>
      <name val="Arial"/>
      <family val="2"/>
    </font>
    <font>
      <sz val="10"/>
      <name val="Myriad Pro"/>
    </font>
    <font>
      <b/>
      <sz val="11"/>
      <color theme="4" tint="-0.249977111117893"/>
      <name val="Arial"/>
      <family val="2"/>
    </font>
    <font>
      <sz val="10"/>
      <color theme="0" tint="-0.14999847407452621"/>
      <name val="Arial"/>
      <family val="2"/>
    </font>
    <font>
      <b/>
      <sz val="10"/>
      <color rgb="FF00B0F0"/>
      <name val="Calibri"/>
      <family val="2"/>
    </font>
    <font>
      <sz val="9"/>
      <name val="Arial"/>
      <family val="2"/>
    </font>
    <font>
      <vertAlign val="superscript"/>
      <sz val="10"/>
      <name val="Arial"/>
      <family val="2"/>
    </font>
    <font>
      <b/>
      <sz val="10"/>
      <color indexed="12"/>
      <name val="Arial"/>
      <family val="2"/>
    </font>
    <font>
      <b/>
      <sz val="12"/>
      <color indexed="12"/>
      <name val="Arial"/>
      <family val="2"/>
    </font>
    <font>
      <b/>
      <sz val="10"/>
      <color indexed="9"/>
      <name val="Arial"/>
      <family val="2"/>
    </font>
    <font>
      <b/>
      <u/>
      <sz val="10"/>
      <color theme="1"/>
      <name val="Arial"/>
      <family val="2"/>
    </font>
    <font>
      <i/>
      <sz val="9"/>
      <name val="Arial"/>
      <family val="2"/>
    </font>
    <font>
      <b/>
      <sz val="10"/>
      <name val="Myriad Pro"/>
      <family val="2"/>
    </font>
    <font>
      <u/>
      <sz val="11"/>
      <color theme="10"/>
      <name val="Calibri"/>
      <family val="2"/>
      <scheme val="minor"/>
    </font>
    <font>
      <b/>
      <sz val="11"/>
      <color theme="1"/>
      <name val="Arial"/>
      <family val="2"/>
    </font>
    <font>
      <vertAlign val="superscript"/>
      <sz val="10"/>
      <color theme="1"/>
      <name val="Arial"/>
      <family val="2"/>
    </font>
    <font>
      <i/>
      <sz val="11"/>
      <color theme="1"/>
      <name val="Calibri"/>
      <family val="2"/>
      <scheme val="minor"/>
    </font>
    <font>
      <sz val="10"/>
      <name val="Calibri"/>
      <family val="2"/>
    </font>
    <font>
      <sz val="9"/>
      <color indexed="81"/>
      <name val="Tahoma"/>
      <family val="2"/>
    </font>
    <font>
      <b/>
      <sz val="11"/>
      <color theme="1"/>
      <name val="Calibri"/>
      <family val="2"/>
      <scheme val="minor"/>
    </font>
    <font>
      <sz val="11"/>
      <color theme="1"/>
      <name val="Arial"/>
      <family val="2"/>
    </font>
    <font>
      <b/>
      <i/>
      <sz val="10"/>
      <color theme="1"/>
      <name val="Arial"/>
      <family val="2"/>
    </font>
    <font>
      <sz val="11"/>
      <color theme="1"/>
      <name val="Calibri"/>
      <family val="2"/>
    </font>
    <font>
      <b/>
      <i/>
      <sz val="11"/>
      <color theme="1"/>
      <name val="Calibri"/>
      <family val="2"/>
      <scheme val="minor"/>
    </font>
    <font>
      <sz val="10"/>
      <color theme="2" tint="-0.249977111117893"/>
      <name val="Arial"/>
      <family val="2"/>
    </font>
    <font>
      <sz val="11"/>
      <color theme="2" tint="-0.249977111117893"/>
      <name val="Calibri"/>
      <family val="2"/>
      <scheme val="minor"/>
    </font>
  </fonts>
  <fills count="23">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1"/>
        <bgColor indexed="64"/>
      </patternFill>
    </fill>
    <fill>
      <patternFill patternType="solid">
        <fgColor rgb="FFCCFFCC"/>
        <bgColor indexed="64"/>
      </patternFill>
    </fill>
    <fill>
      <patternFill patternType="solid">
        <fgColor rgb="FFFFFFCC"/>
        <bgColor indexed="64"/>
      </patternFill>
    </fill>
    <fill>
      <patternFill patternType="gray0625">
        <fgColor rgb="FF00B050"/>
      </patternFill>
    </fill>
    <fill>
      <patternFill patternType="solid">
        <fgColor theme="2"/>
        <bgColor rgb="FF00B0F0"/>
      </patternFill>
    </fill>
    <fill>
      <gradientFill degree="90">
        <stop position="0">
          <color rgb="FFFFFFCC"/>
        </stop>
        <stop position="1">
          <color theme="2"/>
        </stop>
      </gradientFill>
    </fill>
    <fill>
      <patternFill patternType="solid">
        <fgColor rgb="FF00B0F0"/>
        <bgColor indexed="64"/>
      </patternFill>
    </fill>
    <fill>
      <patternFill patternType="solid">
        <fgColor theme="9" tint="0.79995117038483843"/>
        <bgColor rgb="FF00B050"/>
      </patternFill>
    </fill>
    <fill>
      <gradientFill>
        <stop position="0">
          <color rgb="FFFFFFCC"/>
        </stop>
        <stop position="1">
          <color theme="2"/>
        </stop>
      </gradientFill>
    </fill>
    <fill>
      <patternFill patternType="solid">
        <fgColor indexed="55"/>
        <bgColor indexed="64"/>
      </patternFill>
    </fill>
    <fill>
      <patternFill patternType="solid">
        <fgColor theme="0"/>
        <bgColor indexed="64"/>
      </patternFill>
    </fill>
    <fill>
      <patternFill patternType="solid">
        <fgColor indexed="65"/>
        <bgColor rgb="FF00B0F0"/>
      </patternFill>
    </fill>
    <fill>
      <patternFill patternType="solid">
        <fgColor theme="4" tint="0.79995117038483843"/>
        <bgColor indexed="64"/>
      </patternFill>
    </fill>
    <fill>
      <patternFill patternType="lightGray">
        <fgColor rgb="FF92D050"/>
      </patternFill>
    </fill>
    <fill>
      <patternFill patternType="lightGray">
        <fgColor rgb="FF00B050"/>
      </patternFill>
    </fill>
    <fill>
      <patternFill patternType="gray0625">
        <fgColor theme="6"/>
      </patternFill>
    </fill>
    <fill>
      <patternFill patternType="solid">
        <fgColor rgb="FFFFFFCC"/>
        <bgColor rgb="FF00B0F0"/>
      </patternFill>
    </fill>
  </fills>
  <borders count="82">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thin">
        <color theme="4" tint="0.59996337778862885"/>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5117038483843"/>
      </right>
      <top style="thin">
        <color theme="4" tint="0.79998168889431442"/>
      </top>
      <bottom/>
      <diagonal/>
    </border>
    <border>
      <left style="thin">
        <color theme="4" tint="0.79998168889431442"/>
      </left>
      <right/>
      <top/>
      <bottom/>
      <diagonal/>
    </border>
    <border>
      <left/>
      <right style="thin">
        <color theme="4" tint="0.79995117038483843"/>
      </right>
      <top/>
      <bottom/>
      <diagonal/>
    </border>
    <border>
      <left style="thin">
        <color rgb="FFFF0000"/>
      </left>
      <right/>
      <top/>
      <bottom/>
      <diagonal/>
    </border>
    <border>
      <left style="thin">
        <color rgb="FF00B0F0"/>
      </left>
      <right style="thin">
        <color rgb="FF00B0F0"/>
      </right>
      <top style="thin">
        <color rgb="FF00B0F0"/>
      </top>
      <bottom style="thin">
        <color rgb="FF00B0F0"/>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thin">
        <color rgb="FF00B0F0"/>
      </left>
      <right/>
      <top style="thin">
        <color rgb="FF00B0F0"/>
      </top>
      <bottom style="thin">
        <color rgb="FF00B0F0"/>
      </bottom>
      <diagonal/>
    </border>
    <border>
      <left/>
      <right style="double">
        <color rgb="FF00B0F0"/>
      </right>
      <top style="thin">
        <color rgb="FF00B0F0"/>
      </top>
      <bottom style="thin">
        <color rgb="FF00B0F0"/>
      </bottom>
      <diagonal/>
    </border>
    <border>
      <left/>
      <right style="thin">
        <color rgb="FF00B0F0"/>
      </right>
      <top style="thin">
        <color rgb="FF00B0F0"/>
      </top>
      <bottom style="thin">
        <color rgb="FF00B0F0"/>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thin">
        <color theme="4" tint="-0.24994659260841701"/>
      </left>
      <right style="thin">
        <color theme="4" tint="-0.24994659260841701"/>
      </right>
      <top/>
      <bottom/>
      <diagonal/>
    </border>
    <border>
      <left/>
      <right style="thin">
        <color theme="4" tint="-0.24994659260841701"/>
      </right>
      <top/>
      <bottom/>
      <diagonal/>
    </border>
    <border>
      <left/>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double">
        <color rgb="FF00B0F0"/>
      </left>
      <right/>
      <top/>
      <bottom/>
      <diagonal/>
    </border>
    <border>
      <left style="thin">
        <color rgb="FF00B0F0"/>
      </left>
      <right style="double">
        <color rgb="FF00B0F0"/>
      </right>
      <top style="thin">
        <color rgb="FF00B0F0"/>
      </top>
      <bottom style="thin">
        <color rgb="FF00B0F0"/>
      </bottom>
      <diagonal/>
    </border>
    <border>
      <left style="double">
        <color rgb="FF00B0F0"/>
      </left>
      <right style="thin">
        <color rgb="FF00B0F0"/>
      </right>
      <top style="thin">
        <color rgb="FF00B0F0"/>
      </top>
      <bottom style="thin">
        <color rgb="FF00B0F0"/>
      </bottom>
      <diagonal/>
    </border>
    <border>
      <left style="thin">
        <color indexed="49"/>
      </left>
      <right style="thin">
        <color indexed="49"/>
      </right>
      <top style="thin">
        <color indexed="49"/>
      </top>
      <bottom style="thin">
        <color indexed="49"/>
      </bottom>
      <diagonal/>
    </border>
    <border>
      <left style="double">
        <color rgb="FF00B0F0"/>
      </left>
      <right style="double">
        <color rgb="FF00B0F0"/>
      </right>
      <top style="thin">
        <color rgb="FF00B0F0"/>
      </top>
      <bottom style="thin">
        <color rgb="FF00B0F0"/>
      </bottom>
      <diagonal/>
    </border>
    <border>
      <left/>
      <right style="double">
        <color rgb="FF00B0F0"/>
      </right>
      <top style="thin">
        <color rgb="FF00B0F0"/>
      </top>
      <bottom/>
      <diagonal/>
    </border>
    <border>
      <left/>
      <right/>
      <top/>
      <bottom style="medium">
        <color indexed="64"/>
      </bottom>
      <diagonal/>
    </border>
    <border>
      <left/>
      <right style="thin">
        <color indexed="22"/>
      </right>
      <top style="thin">
        <color rgb="FF00B0F0"/>
      </top>
      <bottom style="thin">
        <color rgb="FF00B0F0"/>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diagonal/>
    </border>
    <border>
      <left style="thin">
        <color theme="4" tint="-0.24994659260841701"/>
      </left>
      <right style="thin">
        <color theme="4" tint="-0.24994659260841701"/>
      </right>
      <top/>
      <bottom style="thin">
        <color rgb="FF00B0F0"/>
      </bottom>
      <diagonal/>
    </border>
    <border>
      <left style="thin">
        <color theme="4" tint="-0.24994659260841701"/>
      </left>
      <right/>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right style="thin">
        <color auto="1"/>
      </right>
      <top/>
      <bottom style="thin">
        <color theme="4" tint="-0.24994659260841701"/>
      </bottom>
      <diagonal/>
    </border>
    <border>
      <left/>
      <right style="thin">
        <color auto="1"/>
      </right>
      <top/>
      <bottom/>
      <diagonal/>
    </border>
    <border>
      <left style="thin">
        <color theme="4" tint="-0.24994659260841701"/>
      </left>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indexed="22"/>
      </left>
      <right style="thin">
        <color rgb="FF00B0F0"/>
      </right>
      <top style="thin">
        <color rgb="FF00B0F0"/>
      </top>
      <bottom style="thin">
        <color rgb="FF00B0F0"/>
      </bottom>
      <diagonal/>
    </border>
    <border>
      <left/>
      <right/>
      <top/>
      <bottom style="thin">
        <color theme="4" tint="0.399945066682943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right/>
      <top style="thin">
        <color rgb="FF00B0F0"/>
      </top>
      <bottom style="thin">
        <color rgb="FF00B0F0"/>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rgb="FF00B0F0"/>
      </left>
      <right style="thin">
        <color rgb="FF00B0F0"/>
      </right>
      <top/>
      <bottom/>
      <diagonal/>
    </border>
    <border>
      <left style="thin">
        <color rgb="FF00B0F0"/>
      </left>
      <right style="thin">
        <color rgb="FF00B0F0"/>
      </right>
      <top/>
      <bottom style="thin">
        <color rgb="FF00B0F0"/>
      </bottom>
      <diagonal/>
    </border>
    <border>
      <left style="thin">
        <color rgb="FF00B0F0"/>
      </left>
      <right style="thin">
        <color rgb="FF00B0F0"/>
      </right>
      <top style="thin">
        <color rgb="FF00B0F0"/>
      </top>
      <bottom/>
      <diagonal/>
    </border>
    <border>
      <left style="thin">
        <color indexed="64"/>
      </left>
      <right style="thin">
        <color indexed="64"/>
      </right>
      <top style="thin">
        <color indexed="64"/>
      </top>
      <bottom style="thin">
        <color indexed="64"/>
      </bottom>
      <diagonal/>
    </border>
    <border>
      <left style="thin">
        <color theme="4" tint="-0.24994659260841701"/>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24994659260841701"/>
      </top>
      <bottom style="thin">
        <color theme="4" tint="0.79998168889431442"/>
      </bottom>
      <diagonal/>
    </border>
    <border>
      <left style="thin">
        <color theme="4" tint="-0.24994659260841701"/>
      </left>
      <right style="thin">
        <color theme="4" tint="0.79998168889431442"/>
      </right>
      <top style="thin">
        <color theme="4" tint="-0.24994659260841701"/>
      </top>
      <bottom style="thin">
        <color theme="4" tint="0.79998168889431442"/>
      </bottom>
      <diagonal/>
    </border>
    <border>
      <left style="thin">
        <color theme="4" tint="0.79998168889431442"/>
      </left>
      <right style="thin">
        <color theme="4" tint="-0.24994659260841701"/>
      </right>
      <top style="thin">
        <color theme="4" tint="-0.24994659260841701"/>
      </top>
      <bottom style="thin">
        <color theme="4" tint="0.79998168889431442"/>
      </bottom>
      <diagonal/>
    </border>
    <border>
      <left style="thin">
        <color theme="4" tint="-0.24994659260841701"/>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24994659260841701"/>
      </right>
      <top style="thin">
        <color theme="4" tint="0.79998168889431442"/>
      </top>
      <bottom style="thin">
        <color theme="4" tint="0.79998168889431442"/>
      </bottom>
      <diagonal/>
    </border>
    <border>
      <left style="thin">
        <color theme="4" tint="-0.24994659260841701"/>
      </left>
      <right style="thin">
        <color theme="4" tint="0.79998168889431442"/>
      </right>
      <top style="thin">
        <color theme="4" tint="0.79998168889431442"/>
      </top>
      <bottom style="thin">
        <color theme="4" tint="-0.24994659260841701"/>
      </bottom>
      <diagonal/>
    </border>
    <border>
      <left style="thin">
        <color theme="4" tint="0.79998168889431442"/>
      </left>
      <right style="thin">
        <color theme="4" tint="0.79998168889431442"/>
      </right>
      <top style="thin">
        <color theme="4" tint="0.79998168889431442"/>
      </top>
      <bottom style="thin">
        <color theme="4" tint="-0.24994659260841701"/>
      </bottom>
      <diagonal/>
    </border>
    <border>
      <left style="thin">
        <color theme="4" tint="0.79998168889431442"/>
      </left>
      <right style="thin">
        <color theme="4" tint="-0.24994659260841701"/>
      </right>
      <top style="thin">
        <color theme="4" tint="0.79998168889431442"/>
      </top>
      <bottom style="thin">
        <color theme="4" tint="-0.24994659260841701"/>
      </bottom>
      <diagonal/>
    </border>
    <border>
      <left/>
      <right style="thin">
        <color theme="4" tint="-0.24994659260841701"/>
      </right>
      <top/>
      <bottom style="thin">
        <color theme="4" tint="-0.24994659260841701"/>
      </bottom>
      <diagonal/>
    </border>
    <border>
      <left/>
      <right style="thin">
        <color theme="4" tint="-0.24994659260841701"/>
      </right>
      <top/>
      <bottom style="thin">
        <color rgb="FF00B0F0"/>
      </bottom>
      <diagonal/>
    </border>
    <border>
      <left style="thin">
        <color theme="4" tint="-0.24994659260841701"/>
      </left>
      <right/>
      <top/>
      <bottom style="thin">
        <color rgb="FF00B0F0"/>
      </bottom>
      <diagonal/>
    </border>
    <border>
      <left style="thin">
        <color rgb="FF00B0F0"/>
      </left>
      <right/>
      <top/>
      <bottom style="thin">
        <color theme="0"/>
      </bottom>
      <diagonal/>
    </border>
    <border>
      <left style="thin">
        <color rgb="FF00B0F0"/>
      </left>
      <right/>
      <top style="thin">
        <color theme="0"/>
      </top>
      <bottom style="thin">
        <color theme="0"/>
      </bottom>
      <diagonal/>
    </border>
    <border>
      <left style="thin">
        <color rgb="FF00B0F0"/>
      </left>
      <right/>
      <top style="thin">
        <color theme="0"/>
      </top>
      <bottom/>
      <diagonal/>
    </border>
    <border>
      <left style="thin">
        <color theme="4" tint="0.79992065187536243"/>
      </left>
      <right/>
      <top style="thin">
        <color theme="4" tint="0.79995117038483843"/>
      </top>
      <bottom/>
      <diagonal/>
    </border>
    <border>
      <left/>
      <right style="thin">
        <color theme="4" tint="0.79992065187536243"/>
      </right>
      <top style="thin">
        <color theme="4" tint="0.79995117038483843"/>
      </top>
      <bottom/>
      <diagonal/>
    </border>
    <border>
      <left style="thin">
        <color theme="4" tint="0.79992065187536243"/>
      </left>
      <right/>
      <top/>
      <bottom/>
      <diagonal/>
    </border>
    <border>
      <left/>
      <right style="thin">
        <color theme="4" tint="0.79992065187536243"/>
      </right>
      <top/>
      <bottom/>
      <diagonal/>
    </border>
    <border>
      <left/>
      <right style="thin">
        <color theme="0"/>
      </right>
      <top/>
      <bottom/>
      <diagonal/>
    </border>
    <border>
      <left style="thin">
        <color theme="0"/>
      </left>
      <right/>
      <top style="thin">
        <color theme="0"/>
      </top>
      <bottom style="thin">
        <color theme="0"/>
      </bottom>
      <diagonal/>
    </border>
    <border>
      <left/>
      <right style="thin">
        <color theme="4" tint="-0.24994659260841701"/>
      </right>
      <top style="thin">
        <color theme="4" tint="-0.24994659260841701"/>
      </top>
      <bottom/>
      <diagonal/>
    </border>
  </borders>
  <cellStyleXfs count="15">
    <xf numFmtId="0" fontId="0" fillId="0" borderId="0"/>
    <xf numFmtId="0" fontId="2" fillId="0" borderId="0"/>
    <xf numFmtId="0" fontId="9"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2" fillId="0" borderId="0"/>
    <xf numFmtId="0" fontId="22" fillId="0" borderId="0"/>
    <xf numFmtId="0" fontId="1" fillId="0" borderId="0"/>
    <xf numFmtId="0" fontId="34" fillId="0" borderId="0" applyNumberFormat="0" applyFill="0" applyBorder="0" applyAlignment="0" applyProtection="0"/>
    <xf numFmtId="9" fontId="9" fillId="0" borderId="0" applyFont="0" applyFill="0" applyBorder="0" applyAlignment="0" applyProtection="0"/>
    <xf numFmtId="9" fontId="1" fillId="0" borderId="0" applyFont="0" applyFill="0" applyBorder="0" applyAlignment="0" applyProtection="0"/>
  </cellStyleXfs>
  <cellXfs count="405">
    <xf numFmtId="0" fontId="0" fillId="0" borderId="0" xfId="0"/>
    <xf numFmtId="0" fontId="0" fillId="0" borderId="0" xfId="0" applyFill="1"/>
    <xf numFmtId="0" fontId="3" fillId="0" borderId="0" xfId="1" applyFont="1"/>
    <xf numFmtId="0" fontId="2" fillId="0" borderId="0" xfId="1"/>
    <xf numFmtId="0" fontId="3" fillId="0" borderId="0" xfId="1" applyFont="1" applyAlignment="1">
      <alignment horizontal="center"/>
    </xf>
    <xf numFmtId="164" fontId="3" fillId="0" borderId="0" xfId="1" applyNumberFormat="1" applyFont="1"/>
    <xf numFmtId="0" fontId="2" fillId="0" borderId="0" xfId="1" applyAlignment="1">
      <alignment horizontal="right"/>
    </xf>
    <xf numFmtId="0" fontId="4" fillId="0" borderId="0" xfId="1" applyFont="1" applyAlignment="1">
      <alignment horizontal="right"/>
    </xf>
    <xf numFmtId="0" fontId="4" fillId="0" borderId="3" xfId="1" applyFont="1" applyBorder="1"/>
    <xf numFmtId="0" fontId="2" fillId="0" borderId="3" xfId="1" applyBorder="1"/>
    <xf numFmtId="0" fontId="3" fillId="0" borderId="3" xfId="1" applyFont="1" applyBorder="1"/>
    <xf numFmtId="0" fontId="3" fillId="0" borderId="3" xfId="1" applyFont="1" applyBorder="1" applyAlignment="1">
      <alignment horizontal="center"/>
    </xf>
    <xf numFmtId="164" fontId="3" fillId="0" borderId="3" xfId="1" applyNumberFormat="1" applyFont="1" applyBorder="1"/>
    <xf numFmtId="0" fontId="2" fillId="0" borderId="3" xfId="1" applyBorder="1" applyAlignment="1">
      <alignment horizontal="right"/>
    </xf>
    <xf numFmtId="0" fontId="4" fillId="0" borderId="3" xfId="1" applyFont="1" applyBorder="1" applyAlignment="1"/>
    <xf numFmtId="0" fontId="5" fillId="0" borderId="4" xfId="1" applyFont="1" applyBorder="1"/>
    <xf numFmtId="0" fontId="5" fillId="0" borderId="5" xfId="1" applyFont="1" applyBorder="1"/>
    <xf numFmtId="0" fontId="5" fillId="0" borderId="6" xfId="1" applyFont="1" applyBorder="1"/>
    <xf numFmtId="0" fontId="7" fillId="0" borderId="0" xfId="1" applyFont="1" applyBorder="1" applyAlignment="1">
      <alignment horizontal="right"/>
    </xf>
    <xf numFmtId="0" fontId="7" fillId="0" borderId="8" xfId="1" applyFont="1" applyBorder="1" applyAlignment="1">
      <alignment horizontal="right"/>
    </xf>
    <xf numFmtId="0" fontId="8" fillId="0" borderId="9" xfId="1" applyFont="1" applyBorder="1"/>
    <xf numFmtId="0" fontId="2" fillId="7" borderId="10" xfId="1" applyFill="1" applyBorder="1"/>
    <xf numFmtId="0" fontId="2" fillId="3" borderId="10" xfId="1" applyFill="1" applyBorder="1"/>
    <xf numFmtId="0" fontId="9" fillId="0" borderId="11" xfId="2" applyBorder="1"/>
    <xf numFmtId="0" fontId="9" fillId="0" borderId="12" xfId="2" applyBorder="1"/>
    <xf numFmtId="0" fontId="9" fillId="0" borderId="13" xfId="2" applyBorder="1"/>
    <xf numFmtId="0" fontId="8" fillId="0" borderId="9" xfId="1" quotePrefix="1" applyFont="1" applyBorder="1"/>
    <xf numFmtId="0" fontId="8" fillId="0" borderId="0" xfId="1" quotePrefix="1" applyFont="1"/>
    <xf numFmtId="0" fontId="8" fillId="2" borderId="10" xfId="1" quotePrefix="1" applyFont="1" applyFill="1" applyBorder="1"/>
    <xf numFmtId="0" fontId="10" fillId="0" borderId="0" xfId="1" applyFont="1" applyFill="1"/>
    <xf numFmtId="0" fontId="3" fillId="0" borderId="0" xfId="1" applyFont="1" applyFill="1"/>
    <xf numFmtId="0" fontId="3" fillId="0" borderId="0" xfId="1" quotePrefix="1" applyFont="1" applyFill="1" applyBorder="1" applyAlignment="1">
      <alignment horizontal="right"/>
    </xf>
    <xf numFmtId="0" fontId="9" fillId="0" borderId="14" xfId="2" applyBorder="1"/>
    <xf numFmtId="0" fontId="9" fillId="0" borderId="0" xfId="2" applyBorder="1"/>
    <xf numFmtId="0" fontId="11" fillId="0" borderId="0" xfId="2" applyFont="1" applyBorder="1" applyAlignment="1">
      <alignment horizontal="center"/>
    </xf>
    <xf numFmtId="0" fontId="9" fillId="0" borderId="15" xfId="2" applyBorder="1"/>
    <xf numFmtId="0" fontId="8" fillId="8" borderId="10" xfId="1" quotePrefix="1" applyFont="1" applyFill="1" applyBorder="1"/>
    <xf numFmtId="0" fontId="3" fillId="9" borderId="0" xfId="1" applyFont="1" applyFill="1" applyBorder="1"/>
    <xf numFmtId="0" fontId="3" fillId="9" borderId="0" xfId="1" applyFont="1" applyFill="1"/>
    <xf numFmtId="0" fontId="3" fillId="4" borderId="10" xfId="1" applyFont="1" applyFill="1" applyBorder="1" applyAlignment="1">
      <alignment horizontal="right"/>
    </xf>
    <xf numFmtId="0" fontId="12" fillId="9" borderId="0" xfId="1" applyFont="1" applyFill="1"/>
    <xf numFmtId="0" fontId="5" fillId="0" borderId="14" xfId="2" applyFont="1" applyBorder="1"/>
    <xf numFmtId="0" fontId="9" fillId="0" borderId="0" xfId="2" quotePrefix="1" applyBorder="1"/>
    <xf numFmtId="1" fontId="9" fillId="4" borderId="10" xfId="2" applyNumberFormat="1" applyFill="1" applyBorder="1"/>
    <xf numFmtId="0" fontId="8" fillId="0" borderId="10" xfId="1" quotePrefix="1" applyFont="1" applyBorder="1"/>
    <xf numFmtId="0" fontId="3" fillId="4" borderId="10" xfId="1" applyFont="1" applyFill="1" applyBorder="1" applyAlignment="1">
      <alignment horizontal="center"/>
    </xf>
    <xf numFmtId="0" fontId="9" fillId="0" borderId="0" xfId="2" applyBorder="1" applyAlignment="1">
      <alignment horizontal="right"/>
    </xf>
    <xf numFmtId="0" fontId="9" fillId="4" borderId="10" xfId="2" applyFill="1" applyBorder="1"/>
    <xf numFmtId="0" fontId="9" fillId="0" borderId="1" xfId="2" applyBorder="1"/>
    <xf numFmtId="0" fontId="2" fillId="0" borderId="0" xfId="1" applyFill="1" applyBorder="1"/>
    <xf numFmtId="0" fontId="3" fillId="0" borderId="0" xfId="1" applyFont="1" applyBorder="1"/>
    <xf numFmtId="0" fontId="3" fillId="0" borderId="14" xfId="2" applyFont="1" applyBorder="1"/>
    <xf numFmtId="0" fontId="3" fillId="0" borderId="0" xfId="2" applyFont="1" applyFill="1" applyBorder="1" applyAlignment="1">
      <alignment horizontal="right"/>
    </xf>
    <xf numFmtId="0" fontId="3" fillId="0" borderId="14" xfId="2" applyFont="1" applyFill="1" applyBorder="1"/>
    <xf numFmtId="0" fontId="10" fillId="0" borderId="0" xfId="1" applyFont="1" applyFill="1" applyBorder="1"/>
    <xf numFmtId="0" fontId="3" fillId="0" borderId="0" xfId="1" applyFont="1" applyFill="1" applyBorder="1"/>
    <xf numFmtId="0" fontId="9" fillId="0" borderId="0" xfId="2" applyAlignment="1">
      <alignment horizontal="right"/>
    </xf>
    <xf numFmtId="1" fontId="3" fillId="10" borderId="10" xfId="2" applyNumberFormat="1" applyFont="1" applyFill="1" applyBorder="1"/>
    <xf numFmtId="1" fontId="3" fillId="4" borderId="10" xfId="2" applyNumberFormat="1" applyFont="1" applyFill="1" applyBorder="1" applyAlignment="1">
      <alignment horizontal="right"/>
    </xf>
    <xf numFmtId="0" fontId="9" fillId="0" borderId="0" xfId="2" quotePrefix="1" applyBorder="1" applyAlignment="1">
      <alignment horizontal="center"/>
    </xf>
    <xf numFmtId="9" fontId="9" fillId="0" borderId="0" xfId="2" applyNumberFormat="1" applyBorder="1"/>
    <xf numFmtId="1" fontId="9" fillId="8" borderId="10" xfId="2" applyNumberFormat="1" applyFill="1" applyBorder="1"/>
    <xf numFmtId="0" fontId="13" fillId="0" borderId="0" xfId="1" applyFont="1"/>
    <xf numFmtId="0" fontId="9" fillId="0" borderId="1" xfId="2" applyBorder="1" applyAlignment="1">
      <alignment horizontal="center"/>
    </xf>
    <xf numFmtId="1" fontId="13" fillId="8" borderId="10" xfId="1" applyNumberFormat="1" applyFont="1" applyFill="1" applyBorder="1"/>
    <xf numFmtId="0" fontId="3" fillId="0" borderId="0" xfId="1" applyFont="1" applyFill="1" applyBorder="1" applyAlignment="1">
      <alignment horizontal="right"/>
    </xf>
    <xf numFmtId="0" fontId="9" fillId="0" borderId="16" xfId="2" applyBorder="1" applyAlignment="1">
      <alignment horizontal="center"/>
    </xf>
    <xf numFmtId="0" fontId="2" fillId="0" borderId="18" xfId="1" applyBorder="1" applyAlignment="1">
      <alignment horizontal="center"/>
    </xf>
    <xf numFmtId="0" fontId="3" fillId="8" borderId="10" xfId="1" applyFont="1" applyFill="1" applyBorder="1"/>
    <xf numFmtId="0" fontId="15" fillId="6" borderId="0" xfId="2" applyFont="1" applyFill="1" applyBorder="1" applyAlignment="1">
      <alignment horizontal="center"/>
    </xf>
    <xf numFmtId="0" fontId="16" fillId="6" borderId="0" xfId="1" applyFont="1" applyFill="1" applyAlignment="1">
      <alignment horizontal="center"/>
    </xf>
    <xf numFmtId="0" fontId="15" fillId="0" borderId="0" xfId="2" applyFont="1" applyFill="1" applyBorder="1" applyAlignment="1">
      <alignment horizontal="right"/>
    </xf>
    <xf numFmtId="0" fontId="13" fillId="0" borderId="0" xfId="1" applyFont="1" applyAlignment="1">
      <alignment horizontal="right"/>
    </xf>
    <xf numFmtId="0" fontId="18" fillId="0" borderId="0" xfId="2" applyFont="1" applyBorder="1" applyAlignment="1">
      <alignment horizontal="center"/>
    </xf>
    <xf numFmtId="0" fontId="11" fillId="0" borderId="0" xfId="2" applyFont="1" applyFill="1" applyBorder="1" applyAlignment="1">
      <alignment horizontal="center"/>
    </xf>
    <xf numFmtId="0" fontId="9" fillId="0" borderId="0" xfId="2" quotePrefix="1" applyFill="1" applyBorder="1" applyAlignment="1">
      <alignment horizontal="center"/>
    </xf>
    <xf numFmtId="0" fontId="9" fillId="0" borderId="19" xfId="2" applyBorder="1"/>
    <xf numFmtId="0" fontId="9" fillId="0" borderId="20" xfId="2" applyBorder="1"/>
    <xf numFmtId="0" fontId="9" fillId="0" borderId="21" xfId="2" applyBorder="1"/>
    <xf numFmtId="0" fontId="9" fillId="0" borderId="0" xfId="2"/>
    <xf numFmtId="0" fontId="19" fillId="0" borderId="0" xfId="2" applyFont="1" applyFill="1"/>
    <xf numFmtId="0" fontId="20" fillId="0" borderId="22" xfId="2" quotePrefix="1" applyFont="1" applyFill="1" applyBorder="1" applyAlignment="1">
      <alignment horizontal="right"/>
    </xf>
    <xf numFmtId="0" fontId="21" fillId="0" borderId="23" xfId="2" applyFont="1" applyBorder="1"/>
    <xf numFmtId="0" fontId="20" fillId="0" borderId="24" xfId="2" applyFont="1" applyFill="1" applyBorder="1"/>
    <xf numFmtId="0" fontId="3" fillId="0" borderId="25" xfId="2" applyFont="1" applyFill="1" applyBorder="1" applyAlignment="1">
      <alignment horizontal="right"/>
    </xf>
    <xf numFmtId="0" fontId="21" fillId="0" borderId="25" xfId="2" applyFont="1" applyBorder="1"/>
    <xf numFmtId="0" fontId="9" fillId="0" borderId="0" xfId="2" applyFont="1"/>
    <xf numFmtId="0" fontId="3" fillId="0" borderId="0" xfId="2" applyFont="1" applyFill="1"/>
    <xf numFmtId="0" fontId="3" fillId="0" borderId="22" xfId="2" applyFont="1" applyFill="1" applyBorder="1"/>
    <xf numFmtId="0" fontId="9" fillId="0" borderId="23" xfId="2" applyBorder="1"/>
    <xf numFmtId="0" fontId="5" fillId="0" borderId="0" xfId="2" applyFont="1" applyAlignment="1">
      <alignment horizontal="left"/>
    </xf>
    <xf numFmtId="0" fontId="3" fillId="7" borderId="10" xfId="2" applyFont="1" applyFill="1" applyBorder="1"/>
    <xf numFmtId="0" fontId="9" fillId="7" borderId="10" xfId="2" applyFill="1" applyBorder="1"/>
    <xf numFmtId="0" fontId="19" fillId="0" borderId="0" xfId="1" applyFont="1" applyFill="1"/>
    <xf numFmtId="0" fontId="20" fillId="0" borderId="0" xfId="1" applyFont="1" applyFill="1" applyBorder="1"/>
    <xf numFmtId="0" fontId="3" fillId="7" borderId="10" xfId="1" applyFont="1" applyFill="1" applyBorder="1"/>
    <xf numFmtId="0" fontId="2" fillId="0" borderId="0" xfId="1" applyBorder="1"/>
    <xf numFmtId="0" fontId="5" fillId="0" borderId="0" xfId="1" applyFont="1"/>
    <xf numFmtId="0" fontId="3" fillId="0" borderId="0" xfId="1" applyFont="1" applyBorder="1" applyAlignment="1">
      <alignment horizontal="center"/>
    </xf>
    <xf numFmtId="164" fontId="3" fillId="0" borderId="0" xfId="1" applyNumberFormat="1" applyFont="1" applyBorder="1"/>
    <xf numFmtId="0" fontId="5" fillId="0" borderId="0" xfId="1" applyFont="1" applyBorder="1" applyAlignment="1">
      <alignment horizontal="left"/>
    </xf>
    <xf numFmtId="0" fontId="23" fillId="0" borderId="0" xfId="1" applyFont="1" applyBorder="1"/>
    <xf numFmtId="0" fontId="3" fillId="0" borderId="0" xfId="1" quotePrefix="1" applyFont="1"/>
    <xf numFmtId="0" fontId="24" fillId="0" borderId="0" xfId="1" applyFont="1"/>
    <xf numFmtId="0" fontId="3" fillId="0" borderId="0" xfId="1" applyFont="1" applyAlignment="1">
      <alignment horizontal="right"/>
    </xf>
    <xf numFmtId="0" fontId="3" fillId="0" borderId="0" xfId="1" applyFont="1" applyFill="1" applyBorder="1" applyAlignment="1"/>
    <xf numFmtId="0" fontId="20" fillId="0" borderId="11" xfId="1" applyFont="1" applyBorder="1"/>
    <xf numFmtId="0" fontId="3" fillId="0" borderId="12" xfId="1" applyFont="1" applyBorder="1"/>
    <xf numFmtId="0" fontId="3" fillId="0" borderId="12" xfId="1" applyFont="1" applyBorder="1" applyAlignment="1">
      <alignment horizontal="center"/>
    </xf>
    <xf numFmtId="1" fontId="25" fillId="0" borderId="12" xfId="1" applyNumberFormat="1" applyFont="1" applyBorder="1" applyAlignment="1">
      <alignment horizontal="center"/>
    </xf>
    <xf numFmtId="0" fontId="3" fillId="0" borderId="13" xfId="1" applyFont="1" applyBorder="1" applyAlignment="1">
      <alignment horizontal="center"/>
    </xf>
    <xf numFmtId="0" fontId="3" fillId="9" borderId="26" xfId="1" applyFont="1" applyFill="1" applyBorder="1"/>
    <xf numFmtId="0" fontId="3" fillId="4" borderId="27" xfId="1" applyFont="1" applyFill="1" applyBorder="1" applyAlignment="1">
      <alignment horizontal="right"/>
    </xf>
    <xf numFmtId="0" fontId="3" fillId="4" borderId="28" xfId="1" applyFont="1" applyFill="1" applyBorder="1" applyAlignment="1">
      <alignment horizontal="right"/>
    </xf>
    <xf numFmtId="0" fontId="3" fillId="0" borderId="14" xfId="1" applyFont="1" applyBorder="1"/>
    <xf numFmtId="0" fontId="11" fillId="0" borderId="0" xfId="1" applyFont="1" applyBorder="1" applyAlignment="1">
      <alignment horizontal="center"/>
    </xf>
    <xf numFmtId="0" fontId="11" fillId="0" borderId="0" xfId="1" applyFont="1" applyBorder="1"/>
    <xf numFmtId="0" fontId="3" fillId="0" borderId="0" xfId="1" quotePrefix="1" applyFont="1" applyBorder="1" applyAlignment="1">
      <alignment horizontal="center"/>
    </xf>
    <xf numFmtId="164" fontId="3" fillId="4" borderId="29" xfId="1" applyNumberFormat="1" applyFont="1" applyFill="1" applyBorder="1"/>
    <xf numFmtId="0" fontId="3" fillId="0" borderId="15" xfId="1" applyFont="1" applyBorder="1" applyAlignment="1">
      <alignment horizontal="center"/>
    </xf>
    <xf numFmtId="0" fontId="12" fillId="0" borderId="0" xfId="1" applyFont="1" applyFill="1"/>
    <xf numFmtId="0" fontId="3" fillId="0" borderId="1" xfId="1" applyFont="1" applyBorder="1"/>
    <xf numFmtId="0" fontId="3" fillId="0" borderId="1" xfId="1" applyFont="1" applyBorder="1" applyAlignment="1">
      <alignment horizontal="center"/>
    </xf>
    <xf numFmtId="0" fontId="3" fillId="0" borderId="1" xfId="1" quotePrefix="1" applyFont="1" applyBorder="1" applyAlignment="1">
      <alignment horizontal="center"/>
    </xf>
    <xf numFmtId="164" fontId="3" fillId="0" borderId="1" xfId="1" applyNumberFormat="1" applyFont="1" applyBorder="1"/>
    <xf numFmtId="0" fontId="12" fillId="0" borderId="0" xfId="1" applyFont="1"/>
    <xf numFmtId="1" fontId="25" fillId="0" borderId="0" xfId="1" applyNumberFormat="1" applyFont="1" applyBorder="1" applyAlignment="1">
      <alignment horizontal="center"/>
    </xf>
    <xf numFmtId="0" fontId="3" fillId="13" borderId="10" xfId="1" applyFont="1" applyFill="1" applyBorder="1" applyAlignment="1">
      <alignment horizontal="right"/>
    </xf>
    <xf numFmtId="0" fontId="26" fillId="0" borderId="0" xfId="1" applyFont="1" applyBorder="1" applyAlignment="1">
      <alignment horizontal="right"/>
    </xf>
    <xf numFmtId="0" fontId="20" fillId="0" borderId="0" xfId="1" applyFont="1" applyBorder="1"/>
    <xf numFmtId="164" fontId="3" fillId="8" borderId="29" xfId="1" applyNumberFormat="1" applyFont="1" applyFill="1" applyBorder="1"/>
    <xf numFmtId="0" fontId="12" fillId="0" borderId="0" xfId="1" applyFont="1" applyFill="1" applyBorder="1"/>
    <xf numFmtId="0" fontId="3" fillId="0" borderId="0" xfId="1" quotePrefix="1" applyFont="1" applyBorder="1" applyAlignment="1">
      <alignment horizontal="right"/>
    </xf>
    <xf numFmtId="0" fontId="3" fillId="4" borderId="30" xfId="1" applyFont="1" applyFill="1" applyBorder="1" applyAlignment="1">
      <alignment horizontal="right"/>
    </xf>
    <xf numFmtId="0" fontId="26" fillId="0" borderId="0" xfId="1" applyFont="1" applyBorder="1"/>
    <xf numFmtId="0" fontId="3" fillId="0" borderId="0" xfId="1" quotePrefix="1" applyFont="1" applyBorder="1"/>
    <xf numFmtId="0" fontId="3" fillId="4" borderId="29" xfId="1" applyFont="1" applyFill="1" applyBorder="1"/>
    <xf numFmtId="0" fontId="3" fillId="0" borderId="0" xfId="1" applyFont="1" applyBorder="1" applyAlignment="1">
      <alignment horizontal="right"/>
    </xf>
    <xf numFmtId="0" fontId="3" fillId="0" borderId="15" xfId="1" applyFont="1" applyBorder="1"/>
    <xf numFmtId="2" fontId="3" fillId="14" borderId="29" xfId="1" applyNumberFormat="1" applyFont="1" applyFill="1" applyBorder="1"/>
    <xf numFmtId="0" fontId="3" fillId="0" borderId="0" xfId="1" quotePrefix="1" applyFont="1" applyFill="1" applyBorder="1" applyAlignment="1">
      <alignment horizontal="center"/>
    </xf>
    <xf numFmtId="2" fontId="3" fillId="4" borderId="29" xfId="1" applyNumberFormat="1" applyFont="1" applyFill="1" applyBorder="1"/>
    <xf numFmtId="0" fontId="3" fillId="0" borderId="0" xfId="1" quotePrefix="1" applyFont="1" applyFill="1" applyBorder="1"/>
    <xf numFmtId="0" fontId="3" fillId="8" borderId="29" xfId="1" applyFont="1" applyFill="1" applyBorder="1"/>
    <xf numFmtId="0" fontId="3" fillId="7" borderId="27" xfId="1" applyFont="1" applyFill="1" applyBorder="1"/>
    <xf numFmtId="0" fontId="3" fillId="0" borderId="1" xfId="1" quotePrefix="1" applyFont="1" applyBorder="1"/>
    <xf numFmtId="0" fontId="25" fillId="0" borderId="0" xfId="1" applyFont="1" applyBorder="1" applyAlignment="1">
      <alignment horizontal="center"/>
    </xf>
    <xf numFmtId="164" fontId="3" fillId="0" borderId="32" xfId="1" applyNumberFormat="1" applyFont="1" applyBorder="1"/>
    <xf numFmtId="0" fontId="3" fillId="0" borderId="15" xfId="1" quotePrefix="1" applyFont="1" applyBorder="1" applyAlignment="1">
      <alignment horizontal="left"/>
    </xf>
    <xf numFmtId="0" fontId="19" fillId="0" borderId="0" xfId="1" applyFont="1"/>
    <xf numFmtId="164" fontId="3" fillId="0" borderId="1" xfId="1" applyNumberFormat="1" applyFont="1" applyFill="1" applyBorder="1"/>
    <xf numFmtId="164" fontId="3" fillId="0" borderId="0" xfId="1" applyNumberFormat="1" applyFont="1" applyFill="1" applyBorder="1"/>
    <xf numFmtId="0" fontId="28" fillId="0" borderId="15" xfId="1" applyFont="1" applyBorder="1" applyAlignment="1">
      <alignment horizontal="center"/>
    </xf>
    <xf numFmtId="0" fontId="29" fillId="8" borderId="16" xfId="1" applyFont="1" applyFill="1" applyBorder="1" applyAlignment="1">
      <alignment horizontal="center"/>
    </xf>
    <xf numFmtId="0" fontId="29" fillId="8" borderId="33" xfId="1" applyFont="1" applyFill="1" applyBorder="1" applyAlignment="1">
      <alignment horizontal="center"/>
    </xf>
    <xf numFmtId="0" fontId="29" fillId="8" borderId="10" xfId="1" applyFont="1" applyFill="1" applyBorder="1" applyAlignment="1">
      <alignment horizontal="center"/>
    </xf>
    <xf numFmtId="0" fontId="30" fillId="15" borderId="34" xfId="1" applyFont="1" applyFill="1" applyBorder="1" applyAlignment="1">
      <alignment horizontal="center"/>
    </xf>
    <xf numFmtId="0" fontId="30" fillId="15" borderId="35" xfId="1" applyFont="1" applyFill="1" applyBorder="1" applyAlignment="1">
      <alignment horizontal="center"/>
    </xf>
    <xf numFmtId="164" fontId="30" fillId="15" borderId="36" xfId="1" applyNumberFormat="1" applyFont="1" applyFill="1" applyBorder="1" applyAlignment="1">
      <alignment horizontal="center"/>
    </xf>
    <xf numFmtId="0" fontId="3" fillId="16" borderId="37" xfId="1" quotePrefix="1" applyFont="1" applyFill="1" applyBorder="1" applyAlignment="1">
      <alignment horizontal="center"/>
    </xf>
    <xf numFmtId="0" fontId="3" fillId="16" borderId="37" xfId="1" applyFont="1" applyFill="1" applyBorder="1" applyAlignment="1">
      <alignment horizontal="center"/>
    </xf>
    <xf numFmtId="164" fontId="3" fillId="16" borderId="37" xfId="1" quotePrefix="1" applyNumberFormat="1" applyFont="1" applyFill="1" applyBorder="1" applyAlignment="1">
      <alignment horizontal="center"/>
    </xf>
    <xf numFmtId="0" fontId="3" fillId="0" borderId="0" xfId="1" quotePrefix="1" applyFont="1" applyAlignment="1">
      <alignment horizontal="right"/>
    </xf>
    <xf numFmtId="0" fontId="20" fillId="0" borderId="0" xfId="1" applyFont="1" applyFill="1"/>
    <xf numFmtId="0" fontId="25" fillId="0" borderId="0" xfId="1" applyFont="1" applyBorder="1" applyAlignment="1">
      <alignment horizontal="right"/>
    </xf>
    <xf numFmtId="164" fontId="3" fillId="0" borderId="0" xfId="1" applyNumberFormat="1" applyFont="1" applyBorder="1" applyAlignment="1">
      <alignment horizontal="right"/>
    </xf>
    <xf numFmtId="164" fontId="3" fillId="0" borderId="0" xfId="1" quotePrefix="1" applyNumberFormat="1" applyFont="1"/>
    <xf numFmtId="164" fontId="3" fillId="8" borderId="29" xfId="1" applyNumberFormat="1" applyFont="1" applyFill="1" applyBorder="1" applyAlignment="1">
      <alignment horizontal="right"/>
    </xf>
    <xf numFmtId="0" fontId="3" fillId="0" borderId="1" xfId="1" applyFont="1" applyFill="1" applyBorder="1"/>
    <xf numFmtId="164" fontId="3" fillId="0" borderId="1" xfId="1" applyNumberFormat="1" applyFont="1" applyFill="1" applyBorder="1" applyAlignment="1">
      <alignment horizontal="right"/>
    </xf>
    <xf numFmtId="0" fontId="3" fillId="0" borderId="1" xfId="1" quotePrefix="1" applyFont="1" applyFill="1" applyBorder="1"/>
    <xf numFmtId="0" fontId="3" fillId="0" borderId="1" xfId="1" quotePrefix="1" applyFont="1" applyFill="1" applyBorder="1" applyAlignment="1">
      <alignment horizontal="center"/>
    </xf>
    <xf numFmtId="0" fontId="20" fillId="0" borderId="22" xfId="1" applyFont="1" applyFill="1" applyBorder="1" applyAlignment="1">
      <alignment horizontal="right"/>
    </xf>
    <xf numFmtId="0" fontId="20" fillId="0" borderId="22" xfId="1" quotePrefix="1" applyFont="1" applyFill="1" applyBorder="1" applyAlignment="1">
      <alignment horizontal="right"/>
    </xf>
    <xf numFmtId="0" fontId="19" fillId="0" borderId="0" xfId="1" applyFont="1" applyBorder="1"/>
    <xf numFmtId="164" fontId="3" fillId="0" borderId="0" xfId="1" applyNumberFormat="1" applyFont="1" applyFill="1" applyBorder="1" applyAlignment="1">
      <alignment horizontal="right"/>
    </xf>
    <xf numFmtId="0" fontId="20" fillId="0" borderId="24" xfId="1" applyFont="1" applyFill="1" applyBorder="1"/>
    <xf numFmtId="0" fontId="3" fillId="0" borderId="25" xfId="1" applyFont="1" applyFill="1" applyBorder="1" applyAlignment="1">
      <alignment horizontal="right"/>
    </xf>
    <xf numFmtId="0" fontId="3" fillId="0" borderId="22" xfId="1" applyFont="1" applyFill="1" applyBorder="1"/>
    <xf numFmtId="0" fontId="3" fillId="0" borderId="19" xfId="1" applyFont="1" applyBorder="1"/>
    <xf numFmtId="0" fontId="3" fillId="0" borderId="20" xfId="1" applyFont="1" applyBorder="1"/>
    <xf numFmtId="0" fontId="3" fillId="0" borderId="20" xfId="1" applyFont="1" applyFill="1" applyBorder="1"/>
    <xf numFmtId="164" fontId="3" fillId="0" borderId="20" xfId="1" applyNumberFormat="1" applyFont="1" applyFill="1" applyBorder="1" applyAlignment="1">
      <alignment horizontal="right"/>
    </xf>
    <xf numFmtId="0" fontId="3" fillId="0" borderId="20" xfId="1" quotePrefix="1" applyFont="1" applyFill="1" applyBorder="1"/>
    <xf numFmtId="0" fontId="3" fillId="0" borderId="20" xfId="1" quotePrefix="1" applyFont="1" applyFill="1" applyBorder="1" applyAlignment="1">
      <alignment horizontal="center"/>
    </xf>
    <xf numFmtId="164" fontId="3" fillId="0" borderId="20" xfId="1" applyNumberFormat="1" applyFont="1" applyFill="1" applyBorder="1"/>
    <xf numFmtId="0" fontId="3" fillId="0" borderId="21" xfId="1" applyFont="1" applyBorder="1" applyAlignment="1">
      <alignment horizontal="center"/>
    </xf>
    <xf numFmtId="0" fontId="3" fillId="0" borderId="38" xfId="1" applyFont="1" applyFill="1" applyBorder="1"/>
    <xf numFmtId="0" fontId="20" fillId="0" borderId="24" xfId="1" applyFont="1" applyBorder="1"/>
    <xf numFmtId="0" fontId="4" fillId="0" borderId="0" xfId="1" applyFont="1" applyFill="1" applyBorder="1"/>
    <xf numFmtId="0" fontId="21" fillId="0" borderId="22" xfId="1" applyFont="1" applyBorder="1" applyAlignment="1">
      <alignment horizontal="right"/>
    </xf>
    <xf numFmtId="0" fontId="3" fillId="0" borderId="22" xfId="1" applyFont="1" applyBorder="1"/>
    <xf numFmtId="0" fontId="21" fillId="0" borderId="25" xfId="1" applyFont="1" applyBorder="1" applyAlignment="1">
      <alignment horizontal="right"/>
    </xf>
    <xf numFmtId="0" fontId="20" fillId="0" borderId="25" xfId="1" applyFont="1" applyBorder="1" applyAlignment="1">
      <alignment horizontal="right"/>
    </xf>
    <xf numFmtId="0" fontId="3" fillId="0" borderId="40" xfId="1" applyFont="1" applyFill="1" applyBorder="1" applyAlignment="1">
      <alignment horizontal="center"/>
    </xf>
    <xf numFmtId="0" fontId="3" fillId="0" borderId="22" xfId="1" applyFont="1" applyFill="1" applyBorder="1" applyAlignment="1">
      <alignment horizontal="center"/>
    </xf>
    <xf numFmtId="0" fontId="20" fillId="0" borderId="41" xfId="1" applyFont="1" applyBorder="1"/>
    <xf numFmtId="0" fontId="3" fillId="0" borderId="42" xfId="1" applyFont="1" applyFill="1" applyBorder="1" applyAlignment="1">
      <alignment horizontal="center"/>
    </xf>
    <xf numFmtId="0" fontId="20" fillId="0" borderId="1" xfId="1" applyFont="1" applyFill="1" applyBorder="1" applyAlignment="1">
      <alignment horizontal="left"/>
    </xf>
    <xf numFmtId="0" fontId="3" fillId="0" borderId="25" xfId="1" applyFont="1" applyBorder="1"/>
    <xf numFmtId="164" fontId="3" fillId="0" borderId="0" xfId="1" applyNumberFormat="1" applyFont="1" applyFill="1" applyAlignment="1">
      <alignment horizontal="center"/>
    </xf>
    <xf numFmtId="2" fontId="3" fillId="0" borderId="22" xfId="1" applyNumberFormat="1" applyFont="1" applyFill="1" applyBorder="1"/>
    <xf numFmtId="0" fontId="3" fillId="7" borderId="43" xfId="1" applyFont="1" applyFill="1" applyBorder="1"/>
    <xf numFmtId="0" fontId="3" fillId="7" borderId="44" xfId="1" applyFont="1" applyFill="1" applyBorder="1"/>
    <xf numFmtId="2" fontId="3" fillId="0" borderId="0" xfId="1" applyNumberFormat="1" applyFont="1" applyFill="1" applyBorder="1"/>
    <xf numFmtId="0" fontId="21" fillId="0" borderId="22" xfId="1" applyFont="1" applyFill="1" applyBorder="1" applyAlignment="1">
      <alignment horizontal="right"/>
    </xf>
    <xf numFmtId="0" fontId="21" fillId="0" borderId="25" xfId="1" applyFont="1" applyFill="1" applyBorder="1" applyAlignment="1">
      <alignment horizontal="right"/>
    </xf>
    <xf numFmtId="0" fontId="3" fillId="0" borderId="22" xfId="1" applyFont="1" applyBorder="1" applyAlignment="1">
      <alignment horizontal="right"/>
    </xf>
    <xf numFmtId="0" fontId="20" fillId="0" borderId="24" xfId="1" applyFont="1" applyBorder="1" applyAlignment="1">
      <alignment horizontal="center"/>
    </xf>
    <xf numFmtId="1" fontId="3" fillId="0" borderId="0" xfId="1" applyNumberFormat="1" applyFont="1" applyBorder="1" applyAlignment="1">
      <alignment horizontal="center"/>
    </xf>
    <xf numFmtId="0" fontId="32" fillId="0" borderId="0" xfId="1" applyFont="1" applyBorder="1" applyAlignment="1">
      <alignment horizontal="right"/>
    </xf>
    <xf numFmtId="0" fontId="5" fillId="0" borderId="0" xfId="1" applyFont="1" applyFill="1"/>
    <xf numFmtId="0" fontId="3" fillId="3" borderId="10" xfId="1" applyFont="1" applyFill="1" applyBorder="1" applyAlignment="1">
      <alignment horizontal="right"/>
    </xf>
    <xf numFmtId="2" fontId="3" fillId="8" borderId="29" xfId="1" applyNumberFormat="1" applyFont="1" applyFill="1" applyBorder="1"/>
    <xf numFmtId="0" fontId="3" fillId="16" borderId="0" xfId="1" quotePrefix="1" applyFont="1" applyFill="1" applyBorder="1" applyAlignment="1">
      <alignment horizontal="center"/>
    </xf>
    <xf numFmtId="0" fontId="2" fillId="0" borderId="0" xfId="1" applyFill="1" applyBorder="1" applyAlignment="1"/>
    <xf numFmtId="0" fontId="29" fillId="8" borderId="45" xfId="1" applyFont="1" applyFill="1" applyBorder="1" applyAlignment="1">
      <alignment horizontal="center"/>
    </xf>
    <xf numFmtId="0" fontId="3" fillId="0" borderId="21" xfId="1" applyFont="1" applyBorder="1"/>
    <xf numFmtId="0" fontId="33" fillId="0" borderId="0" xfId="1" applyFont="1" applyBorder="1"/>
    <xf numFmtId="0" fontId="2" fillId="0" borderId="1" xfId="1" applyBorder="1"/>
    <xf numFmtId="0" fontId="2" fillId="0" borderId="14" xfId="1" applyBorder="1"/>
    <xf numFmtId="0" fontId="25" fillId="0" borderId="0" xfId="1" quotePrefix="1" applyFont="1" applyBorder="1" applyAlignment="1">
      <alignment horizontal="center"/>
    </xf>
    <xf numFmtId="0" fontId="3" fillId="0" borderId="20" xfId="1" applyFont="1" applyBorder="1" applyAlignment="1">
      <alignment horizontal="center"/>
    </xf>
    <xf numFmtId="164" fontId="3" fillId="0" borderId="20" xfId="1" applyNumberFormat="1" applyFont="1" applyBorder="1"/>
    <xf numFmtId="0" fontId="3" fillId="17" borderId="0" xfId="1" applyFont="1" applyFill="1" applyBorder="1"/>
    <xf numFmtId="0" fontId="34" fillId="0" borderId="0" xfId="12"/>
    <xf numFmtId="14" fontId="9" fillId="0" borderId="0" xfId="2" applyNumberFormat="1" applyAlignment="1">
      <alignment horizontal="right"/>
    </xf>
    <xf numFmtId="0" fontId="4" fillId="0" borderId="0" xfId="2" applyFont="1" applyAlignment="1">
      <alignment horizontal="right"/>
    </xf>
    <xf numFmtId="0" fontId="4" fillId="0" borderId="46" xfId="2" applyFont="1" applyBorder="1"/>
    <xf numFmtId="0" fontId="9" fillId="0" borderId="46" xfId="2" applyBorder="1"/>
    <xf numFmtId="0" fontId="9" fillId="0" borderId="3" xfId="2" applyBorder="1"/>
    <xf numFmtId="0" fontId="9" fillId="0" borderId="3" xfId="2" applyBorder="1" applyAlignment="1">
      <alignment horizontal="right"/>
    </xf>
    <xf numFmtId="0" fontId="3" fillId="0" borderId="0" xfId="2" applyFont="1"/>
    <xf numFmtId="0" fontId="8" fillId="0" borderId="0" xfId="2" quotePrefix="1" applyFont="1"/>
    <xf numFmtId="0" fontId="21" fillId="0" borderId="0" xfId="2" applyFont="1"/>
    <xf numFmtId="0" fontId="8" fillId="5" borderId="47" xfId="2" applyFont="1" applyFill="1" applyBorder="1"/>
    <xf numFmtId="0" fontId="8" fillId="5" borderId="48" xfId="2" applyFont="1" applyFill="1" applyBorder="1"/>
    <xf numFmtId="0" fontId="8" fillId="5" borderId="49" xfId="2" applyFont="1" applyFill="1" applyBorder="1"/>
    <xf numFmtId="0" fontId="8" fillId="5" borderId="50" xfId="2" applyFont="1" applyFill="1" applyBorder="1"/>
    <xf numFmtId="0" fontId="8" fillId="5" borderId="47" xfId="2" applyFont="1" applyFill="1" applyBorder="1" applyAlignment="1">
      <alignment horizontal="right"/>
    </xf>
    <xf numFmtId="0" fontId="4" fillId="0" borderId="0" xfId="2" applyFont="1"/>
    <xf numFmtId="0" fontId="8" fillId="0" borderId="9" xfId="2" applyFont="1" applyBorder="1"/>
    <xf numFmtId="0" fontId="9" fillId="0" borderId="0" xfId="2" applyAlignment="1">
      <alignment horizontal="center"/>
    </xf>
    <xf numFmtId="0" fontId="9" fillId="3" borderId="10" xfId="2" applyFill="1" applyBorder="1"/>
    <xf numFmtId="0" fontId="8" fillId="0" borderId="9" xfId="2" quotePrefix="1" applyFont="1" applyBorder="1"/>
    <xf numFmtId="0" fontId="9" fillId="7" borderId="27" xfId="2" applyFill="1" applyBorder="1"/>
    <xf numFmtId="0" fontId="12" fillId="19" borderId="0" xfId="2" applyFont="1" applyFill="1" applyAlignment="1">
      <alignment horizontal="center"/>
    </xf>
    <xf numFmtId="0" fontId="9" fillId="0" borderId="0" xfId="2" applyFill="1"/>
    <xf numFmtId="0" fontId="9" fillId="0" borderId="0" xfId="2" applyAlignment="1">
      <alignment horizontal="left"/>
    </xf>
    <xf numFmtId="0" fontId="8" fillId="8" borderId="10" xfId="2" quotePrefix="1" applyFont="1" applyFill="1" applyBorder="1"/>
    <xf numFmtId="0" fontId="8" fillId="0" borderId="10" xfId="2" quotePrefix="1" applyFont="1" applyBorder="1"/>
    <xf numFmtId="0" fontId="9" fillId="0" borderId="0" xfId="2" applyFill="1" applyBorder="1"/>
    <xf numFmtId="0" fontId="3" fillId="0" borderId="0" xfId="1" applyFont="1" applyFill="1" applyAlignment="1">
      <alignment horizontal="left"/>
    </xf>
    <xf numFmtId="0" fontId="9" fillId="0" borderId="0" xfId="2" quotePrefix="1"/>
    <xf numFmtId="0" fontId="31" fillId="0" borderId="0" xfId="2" applyFont="1"/>
    <xf numFmtId="0" fontId="8" fillId="5" borderId="50" xfId="2" applyFont="1" applyFill="1" applyBorder="1" applyAlignment="1">
      <alignment horizontal="left"/>
    </xf>
    <xf numFmtId="0" fontId="9" fillId="0" borderId="0" xfId="2" applyBorder="1" applyAlignment="1"/>
    <xf numFmtId="0" fontId="9" fillId="0" borderId="0" xfId="2" applyFont="1" applyAlignment="1">
      <alignment horizontal="left"/>
    </xf>
    <xf numFmtId="0" fontId="8" fillId="2" borderId="10" xfId="2" quotePrefix="1" applyFont="1" applyFill="1" applyBorder="1"/>
    <xf numFmtId="0" fontId="9" fillId="7" borderId="27" xfId="2" applyFill="1" applyBorder="1" applyAlignment="1">
      <alignment horizontal="center"/>
    </xf>
    <xf numFmtId="0" fontId="9" fillId="0" borderId="0" xfId="2" applyFill="1" applyBorder="1" applyAlignment="1">
      <alignment horizontal="center"/>
    </xf>
    <xf numFmtId="0" fontId="21" fillId="8" borderId="10" xfId="2" applyFont="1" applyFill="1" applyBorder="1" applyAlignment="1">
      <alignment horizontal="center"/>
    </xf>
    <xf numFmtId="0" fontId="3" fillId="0" borderId="0" xfId="2" applyFont="1" applyFill="1" applyBorder="1" applyAlignment="1">
      <alignment horizontal="center"/>
    </xf>
    <xf numFmtId="9" fontId="9" fillId="8" borderId="10" xfId="2" applyNumberFormat="1" applyFill="1" applyBorder="1"/>
    <xf numFmtId="9" fontId="9" fillId="0" borderId="55" xfId="2" applyNumberFormat="1" applyFill="1" applyBorder="1"/>
    <xf numFmtId="0" fontId="9" fillId="0" borderId="55" xfId="2" applyFill="1" applyBorder="1"/>
    <xf numFmtId="2" fontId="3" fillId="7" borderId="56" xfId="1" applyNumberFormat="1" applyFont="1" applyFill="1" applyBorder="1"/>
    <xf numFmtId="0" fontId="3" fillId="0" borderId="0" xfId="1" applyFont="1" applyAlignment="1">
      <alignment horizontal="left"/>
    </xf>
    <xf numFmtId="165" fontId="3" fillId="7" borderId="10" xfId="1" applyNumberFormat="1" applyFont="1" applyFill="1" applyBorder="1"/>
    <xf numFmtId="2" fontId="3" fillId="7" borderId="10" xfId="1" applyNumberFormat="1" applyFont="1" applyFill="1" applyBorder="1"/>
    <xf numFmtId="2" fontId="3" fillId="7" borderId="57" xfId="1" applyNumberFormat="1" applyFont="1" applyFill="1" applyBorder="1"/>
    <xf numFmtId="1" fontId="3" fillId="7" borderId="10" xfId="1" applyNumberFormat="1" applyFont="1" applyFill="1" applyBorder="1"/>
    <xf numFmtId="1" fontId="9" fillId="0" borderId="0" xfId="2" applyNumberFormat="1"/>
    <xf numFmtId="9" fontId="0" fillId="0" borderId="0" xfId="13" applyFont="1"/>
    <xf numFmtId="0" fontId="26" fillId="0" borderId="0" xfId="9" applyFont="1" applyBorder="1" applyAlignment="1">
      <alignment horizontal="center"/>
    </xf>
    <xf numFmtId="0" fontId="9" fillId="8" borderId="56" xfId="2" applyFill="1" applyBorder="1" applyAlignment="1">
      <alignment horizontal="left"/>
    </xf>
    <xf numFmtId="0" fontId="9" fillId="0" borderId="0" xfId="2" applyFill="1" applyBorder="1" applyAlignment="1"/>
    <xf numFmtId="0" fontId="12" fillId="20" borderId="0" xfId="2" applyFont="1" applyFill="1" applyAlignment="1">
      <alignment horizontal="center"/>
    </xf>
    <xf numFmtId="1" fontId="9" fillId="3" borderId="10" xfId="2" applyNumberFormat="1" applyFill="1" applyBorder="1" applyAlignment="1">
      <alignment horizontal="left"/>
    </xf>
    <xf numFmtId="1" fontId="9" fillId="8" borderId="10" xfId="2" applyNumberFormat="1" applyFill="1" applyBorder="1" applyAlignment="1">
      <alignment horizontal="left"/>
    </xf>
    <xf numFmtId="0" fontId="9" fillId="0" borderId="24" xfId="2" applyBorder="1"/>
    <xf numFmtId="0" fontId="9" fillId="0" borderId="25" xfId="2" applyBorder="1"/>
    <xf numFmtId="0" fontId="9" fillId="0" borderId="39" xfId="2" applyBorder="1"/>
    <xf numFmtId="0" fontId="9" fillId="0" borderId="22" xfId="2" applyBorder="1"/>
    <xf numFmtId="2" fontId="9" fillId="0" borderId="22" xfId="2" applyNumberFormat="1" applyBorder="1"/>
    <xf numFmtId="0" fontId="9" fillId="0" borderId="59" xfId="2" applyBorder="1"/>
    <xf numFmtId="0" fontId="4" fillId="0" borderId="3" xfId="1" applyFont="1" applyBorder="1" applyAlignment="1"/>
    <xf numFmtId="0" fontId="5" fillId="0" borderId="7" xfId="1" applyFont="1" applyBorder="1" applyAlignment="1">
      <alignment horizontal="left"/>
    </xf>
    <xf numFmtId="0" fontId="2" fillId="0" borderId="0" xfId="1" applyAlignment="1">
      <alignment horizontal="right"/>
    </xf>
    <xf numFmtId="0" fontId="9" fillId="0" borderId="10" xfId="2" applyBorder="1" applyAlignment="1">
      <alignment horizontal="center"/>
    </xf>
    <xf numFmtId="0" fontId="9" fillId="0" borderId="18" xfId="2" applyBorder="1" applyAlignment="1">
      <alignment horizontal="center"/>
    </xf>
    <xf numFmtId="0" fontId="9" fillId="0" borderId="0" xfId="2" applyBorder="1" applyAlignment="1">
      <alignment horizontal="center"/>
    </xf>
    <xf numFmtId="0" fontId="2" fillId="0" borderId="0" xfId="1" applyAlignment="1">
      <alignment horizontal="right"/>
    </xf>
    <xf numFmtId="9" fontId="2" fillId="0" borderId="0" xfId="14" applyFont="1"/>
    <xf numFmtId="9" fontId="3" fillId="7" borderId="27" xfId="14" applyFont="1" applyFill="1" applyBorder="1" applyAlignment="1"/>
    <xf numFmtId="0" fontId="2" fillId="0" borderId="0" xfId="1" applyAlignment="1">
      <alignment horizontal="right"/>
    </xf>
    <xf numFmtId="0" fontId="19" fillId="0" borderId="0" xfId="2" applyFont="1" applyAlignment="1">
      <alignment horizontal="center"/>
    </xf>
    <xf numFmtId="0" fontId="9" fillId="0" borderId="0" xfId="2" applyAlignment="1">
      <alignment horizontal="center"/>
    </xf>
    <xf numFmtId="0" fontId="2" fillId="0" borderId="0" xfId="1" applyFill="1"/>
    <xf numFmtId="0" fontId="5" fillId="0" borderId="7" xfId="1" applyFont="1" applyBorder="1" applyAlignment="1">
      <alignment horizontal="left"/>
    </xf>
    <xf numFmtId="0" fontId="37" fillId="0" borderId="0" xfId="0" applyFont="1" applyAlignment="1"/>
    <xf numFmtId="9" fontId="9" fillId="7" borderId="10" xfId="2" applyNumberFormat="1" applyFill="1" applyBorder="1"/>
    <xf numFmtId="9" fontId="0" fillId="7" borderId="10" xfId="13" applyFont="1" applyFill="1" applyBorder="1"/>
    <xf numFmtId="0" fontId="38" fillId="0" borderId="0" xfId="1" applyFont="1" applyAlignment="1">
      <alignment horizontal="right"/>
    </xf>
    <xf numFmtId="9" fontId="9" fillId="0" borderId="0" xfId="2" applyNumberFormat="1"/>
    <xf numFmtId="9" fontId="9" fillId="0" borderId="0" xfId="14" applyFont="1"/>
    <xf numFmtId="9" fontId="0" fillId="7" borderId="27" xfId="14" applyFont="1" applyFill="1" applyBorder="1"/>
    <xf numFmtId="0" fontId="37" fillId="0" borderId="0" xfId="0" applyFont="1" applyAlignment="1">
      <alignment horizontal="right"/>
    </xf>
    <xf numFmtId="0" fontId="2" fillId="21" borderId="0" xfId="1" applyFill="1"/>
    <xf numFmtId="1" fontId="3" fillId="22" borderId="10" xfId="2" applyNumberFormat="1" applyFont="1" applyFill="1" applyBorder="1"/>
    <xf numFmtId="0" fontId="3" fillId="0" borderId="44" xfId="9" applyFont="1" applyBorder="1" applyAlignment="1">
      <alignment horizontal="right"/>
    </xf>
    <xf numFmtId="0" fontId="3" fillId="0" borderId="58" xfId="9" applyFont="1" applyBorder="1" applyAlignment="1">
      <alignment horizontal="center"/>
    </xf>
    <xf numFmtId="0" fontId="3" fillId="0" borderId="0" xfId="9" applyFont="1" applyBorder="1" applyAlignment="1">
      <alignment horizontal="center"/>
    </xf>
    <xf numFmtId="9" fontId="3" fillId="0" borderId="62" xfId="13" applyFont="1" applyBorder="1"/>
    <xf numFmtId="9" fontId="3" fillId="0" borderId="61" xfId="13" applyFont="1" applyBorder="1"/>
    <xf numFmtId="9" fontId="3" fillId="0" borderId="63" xfId="13" applyFont="1" applyBorder="1"/>
    <xf numFmtId="9" fontId="9" fillId="0" borderId="64" xfId="13" applyFont="1" applyBorder="1"/>
    <xf numFmtId="9" fontId="9" fillId="0" borderId="60" xfId="13" applyFont="1" applyBorder="1"/>
    <xf numFmtId="9" fontId="9" fillId="0" borderId="65" xfId="13" applyFont="1" applyBorder="1"/>
    <xf numFmtId="9" fontId="9" fillId="0" borderId="66" xfId="13" applyFont="1" applyBorder="1"/>
    <xf numFmtId="9" fontId="9" fillId="0" borderId="67" xfId="13" applyFont="1" applyBorder="1"/>
    <xf numFmtId="9" fontId="9" fillId="0" borderId="68" xfId="13" applyFont="1" applyBorder="1"/>
    <xf numFmtId="0" fontId="9" fillId="0" borderId="0" xfId="0" applyFont="1" applyAlignment="1">
      <alignment horizontal="right"/>
    </xf>
    <xf numFmtId="0" fontId="9" fillId="0" borderId="58" xfId="0" applyFont="1" applyBorder="1"/>
    <xf numFmtId="0" fontId="9" fillId="0" borderId="0" xfId="0" applyFont="1" applyFill="1" applyBorder="1" applyAlignment="1">
      <alignment horizontal="right"/>
    </xf>
    <xf numFmtId="0" fontId="9" fillId="0" borderId="0" xfId="0" applyFont="1"/>
    <xf numFmtId="9" fontId="9" fillId="0" borderId="58" xfId="0" applyNumberFormat="1" applyFont="1" applyBorder="1" applyAlignment="1">
      <alignment horizontal="left"/>
    </xf>
    <xf numFmtId="0" fontId="37" fillId="0" borderId="0" xfId="0" applyFont="1"/>
    <xf numFmtId="0" fontId="4" fillId="0" borderId="0" xfId="0" applyFont="1"/>
    <xf numFmtId="0" fontId="4" fillId="0" borderId="3" xfId="2" applyFont="1" applyBorder="1"/>
    <xf numFmtId="0" fontId="21" fillId="0" borderId="59" xfId="2" applyFont="1" applyFill="1" applyBorder="1" applyAlignment="1">
      <alignment horizontal="right"/>
    </xf>
    <xf numFmtId="0" fontId="21" fillId="0" borderId="39" xfId="2" applyFont="1" applyFill="1" applyBorder="1" applyAlignment="1">
      <alignment horizontal="right"/>
    </xf>
    <xf numFmtId="164" fontId="0" fillId="0" borderId="59" xfId="0" applyNumberFormat="1" applyBorder="1"/>
    <xf numFmtId="0" fontId="9" fillId="0" borderId="22" xfId="2" applyBorder="1" applyAlignment="1">
      <alignment horizontal="right"/>
    </xf>
    <xf numFmtId="164" fontId="9" fillId="0" borderId="59" xfId="2" applyNumberFormat="1" applyBorder="1"/>
    <xf numFmtId="0" fontId="9" fillId="0" borderId="23" xfId="2" applyFill="1" applyBorder="1"/>
    <xf numFmtId="0" fontId="9" fillId="0" borderId="22" xfId="2" applyFill="1" applyBorder="1" applyAlignment="1">
      <alignment horizontal="right"/>
    </xf>
    <xf numFmtId="164" fontId="9" fillId="0" borderId="59" xfId="2" applyNumberFormat="1" applyFill="1" applyBorder="1"/>
    <xf numFmtId="0" fontId="9" fillId="0" borderId="38" xfId="2" applyBorder="1" applyAlignment="1">
      <alignment horizontal="right"/>
    </xf>
    <xf numFmtId="164" fontId="9" fillId="0" borderId="71" xfId="2" applyNumberFormat="1" applyBorder="1"/>
    <xf numFmtId="0" fontId="3" fillId="0" borderId="23" xfId="1" applyFont="1" applyFill="1" applyBorder="1"/>
    <xf numFmtId="0" fontId="9" fillId="0" borderId="70" xfId="2" applyFill="1" applyBorder="1"/>
    <xf numFmtId="0" fontId="9" fillId="0" borderId="22" xfId="2" applyFill="1" applyBorder="1"/>
    <xf numFmtId="0" fontId="9" fillId="0" borderId="38" xfId="2" applyBorder="1"/>
    <xf numFmtId="0" fontId="20" fillId="0" borderId="69" xfId="1" applyFont="1" applyFill="1" applyBorder="1"/>
    <xf numFmtId="164" fontId="9" fillId="11" borderId="10" xfId="2" applyNumberFormat="1" applyFill="1" applyBorder="1"/>
    <xf numFmtId="0" fontId="15" fillId="12" borderId="72" xfId="2" applyFont="1" applyFill="1" applyBorder="1" applyAlignment="1">
      <alignment horizontal="right"/>
    </xf>
    <xf numFmtId="0" fontId="15" fillId="12" borderId="73" xfId="2" applyFont="1" applyFill="1" applyBorder="1" applyAlignment="1">
      <alignment horizontal="right"/>
    </xf>
    <xf numFmtId="0" fontId="15" fillId="12" borderId="74" xfId="2" applyFont="1" applyFill="1" applyBorder="1" applyAlignment="1">
      <alignment horizontal="right"/>
    </xf>
    <xf numFmtId="164" fontId="9" fillId="4" borderId="10" xfId="2" applyNumberFormat="1" applyFill="1" applyBorder="1"/>
    <xf numFmtId="0" fontId="6" fillId="0" borderId="77" xfId="1" applyFont="1" applyBorder="1"/>
    <xf numFmtId="0" fontId="6" fillId="0" borderId="78" xfId="1" applyFont="1" applyBorder="1"/>
    <xf numFmtId="0" fontId="42" fillId="0" borderId="0" xfId="2" applyFont="1"/>
    <xf numFmtId="0" fontId="43" fillId="0" borderId="0" xfId="0" applyFont="1"/>
    <xf numFmtId="0" fontId="40" fillId="0" borderId="0" xfId="0" applyFont="1"/>
    <xf numFmtId="0" fontId="44" fillId="0" borderId="0" xfId="0" applyFont="1"/>
    <xf numFmtId="0" fontId="0" fillId="5" borderId="0" xfId="0" applyFill="1" applyBorder="1"/>
    <xf numFmtId="0" fontId="0" fillId="5" borderId="79" xfId="0" applyFill="1" applyBorder="1"/>
    <xf numFmtId="0" fontId="34" fillId="0" borderId="2" xfId="12" applyFill="1" applyBorder="1" applyAlignment="1"/>
    <xf numFmtId="0" fontId="34" fillId="0" borderId="0" xfId="12" applyFill="1" applyAlignment="1"/>
    <xf numFmtId="0" fontId="34" fillId="0" borderId="80" xfId="12" applyFill="1" applyBorder="1" applyAlignment="1"/>
    <xf numFmtId="0" fontId="0" fillId="0" borderId="3" xfId="0" applyBorder="1"/>
    <xf numFmtId="0" fontId="2" fillId="0" borderId="0" xfId="1" applyBorder="1" applyAlignment="1">
      <alignment horizontal="right"/>
    </xf>
    <xf numFmtId="0" fontId="4" fillId="0" borderId="3" xfId="1" applyFont="1" applyBorder="1" applyAlignment="1">
      <alignment horizontal="right"/>
    </xf>
    <xf numFmtId="0" fontId="45" fillId="0" borderId="24" xfId="1" applyFont="1" applyFill="1" applyBorder="1" applyAlignment="1">
      <alignment horizontal="right"/>
    </xf>
    <xf numFmtId="0" fontId="45" fillId="0" borderId="69" xfId="1" applyFont="1" applyFill="1" applyBorder="1" applyAlignment="1">
      <alignment horizontal="right"/>
    </xf>
    <xf numFmtId="0" fontId="46" fillId="0" borderId="0" xfId="0" applyFont="1"/>
    <xf numFmtId="0" fontId="46" fillId="0" borderId="81" xfId="0" applyFont="1" applyBorder="1"/>
    <xf numFmtId="0" fontId="46" fillId="0" borderId="23" xfId="0" applyFont="1" applyBorder="1"/>
    <xf numFmtId="0" fontId="0" fillId="0" borderId="0" xfId="0" quotePrefix="1"/>
    <xf numFmtId="0" fontId="37" fillId="0" borderId="0" xfId="0" applyFont="1" applyAlignment="1"/>
    <xf numFmtId="14" fontId="2" fillId="0" borderId="0" xfId="1" applyNumberFormat="1" applyAlignment="1">
      <alignment horizontal="right"/>
    </xf>
    <xf numFmtId="0" fontId="2" fillId="0" borderId="0" xfId="1" applyAlignment="1"/>
    <xf numFmtId="0" fontId="45" fillId="0" borderId="0" xfId="1" applyFont="1" applyAlignment="1">
      <alignment horizontal="center"/>
    </xf>
    <xf numFmtId="0" fontId="46" fillId="0" borderId="0" xfId="0" applyFont="1" applyAlignment="1">
      <alignment horizontal="center"/>
    </xf>
    <xf numFmtId="0" fontId="45" fillId="0" borderId="59" xfId="1" applyFont="1" applyBorder="1" applyAlignment="1">
      <alignment horizontal="center"/>
    </xf>
    <xf numFmtId="0" fontId="46" fillId="0" borderId="23" xfId="0" applyFont="1" applyBorder="1" applyAlignment="1">
      <alignment horizontal="center"/>
    </xf>
    <xf numFmtId="0" fontId="46" fillId="0" borderId="59" xfId="0" applyFont="1" applyBorder="1" applyAlignment="1">
      <alignment horizontal="center"/>
    </xf>
    <xf numFmtId="0" fontId="20" fillId="0" borderId="0" xfId="1" applyFont="1" applyFill="1" applyBorder="1" applyAlignment="1">
      <alignment horizontal="center"/>
    </xf>
    <xf numFmtId="0" fontId="3" fillId="0" borderId="0" xfId="1" applyFont="1" applyBorder="1" applyAlignment="1">
      <alignment horizontal="center"/>
    </xf>
    <xf numFmtId="0" fontId="3" fillId="7" borderId="16" xfId="1" applyFont="1" applyFill="1" applyBorder="1" applyAlignment="1"/>
    <xf numFmtId="0" fontId="2" fillId="0" borderId="17" xfId="1" applyBorder="1" applyAlignment="1"/>
    <xf numFmtId="0" fontId="2" fillId="7" borderId="17" xfId="1" applyFill="1" applyBorder="1" applyAlignment="1"/>
    <xf numFmtId="0" fontId="2" fillId="7" borderId="31" xfId="1" applyFill="1" applyBorder="1" applyAlignment="1"/>
    <xf numFmtId="0" fontId="5" fillId="0" borderId="75" xfId="1" applyFont="1" applyBorder="1" applyAlignment="1">
      <alignment horizontal="left"/>
    </xf>
    <xf numFmtId="0" fontId="6" fillId="0" borderId="76" xfId="1" applyFont="1" applyBorder="1" applyAlignment="1">
      <alignment horizontal="left"/>
    </xf>
    <xf numFmtId="0" fontId="4" fillId="0" borderId="3" xfId="1" applyFont="1" applyBorder="1" applyAlignment="1"/>
    <xf numFmtId="0" fontId="5" fillId="0" borderId="0" xfId="1" applyFont="1" applyBorder="1" applyAlignment="1">
      <alignment horizontal="left"/>
    </xf>
    <xf numFmtId="0" fontId="6" fillId="0" borderId="0" xfId="1" applyFont="1" applyAlignment="1">
      <alignment horizontal="left"/>
    </xf>
    <xf numFmtId="0" fontId="2" fillId="0" borderId="0" xfId="1" applyAlignment="1">
      <alignment horizontal="right"/>
    </xf>
    <xf numFmtId="0" fontId="9" fillId="7" borderId="16" xfId="2" applyFill="1" applyBorder="1" applyAlignment="1"/>
    <xf numFmtId="0" fontId="9" fillId="7" borderId="51" xfId="2" applyFill="1" applyBorder="1" applyAlignment="1"/>
    <xf numFmtId="0" fontId="9" fillId="7" borderId="18" xfId="2" applyFill="1" applyBorder="1" applyAlignment="1"/>
    <xf numFmtId="0" fontId="3" fillId="0" borderId="0" xfId="2" applyFont="1" applyBorder="1" applyAlignment="1">
      <alignment horizontal="left"/>
    </xf>
    <xf numFmtId="0" fontId="0" fillId="0" borderId="0" xfId="0" applyAlignment="1">
      <alignment horizontal="left"/>
    </xf>
    <xf numFmtId="14" fontId="9" fillId="0" borderId="0" xfId="2" applyNumberFormat="1" applyAlignment="1">
      <alignment horizontal="right"/>
    </xf>
    <xf numFmtId="0" fontId="9" fillId="0" borderId="0" xfId="2" applyAlignment="1"/>
    <xf numFmtId="0" fontId="4" fillId="0" borderId="3" xfId="2" applyFont="1" applyBorder="1" applyAlignment="1"/>
    <xf numFmtId="0" fontId="35" fillId="18" borderId="0" xfId="2" applyFont="1" applyFill="1" applyAlignment="1">
      <alignment horizontal="center"/>
    </xf>
    <xf numFmtId="0" fontId="8" fillId="5" borderId="52" xfId="2" applyFont="1" applyFill="1" applyBorder="1" applyAlignment="1"/>
    <xf numFmtId="0" fontId="9" fillId="0" borderId="53" xfId="2" applyBorder="1" applyAlignment="1"/>
    <xf numFmtId="0" fontId="9" fillId="0" borderId="54" xfId="2" applyBorder="1" applyAlignment="1"/>
    <xf numFmtId="0" fontId="4" fillId="0" borderId="24" xfId="2" applyFont="1" applyBorder="1" applyAlignment="1"/>
    <xf numFmtId="0" fontId="0" fillId="0" borderId="51" xfId="0" applyBorder="1" applyAlignment="1"/>
    <xf numFmtId="0" fontId="0" fillId="0" borderId="18" xfId="0" applyBorder="1" applyAlignment="1"/>
  </cellXfs>
  <cellStyles count="15">
    <cellStyle name="Hyperlink" xfId="12" builtinId="8"/>
    <cellStyle name="Komma 2" xfId="5"/>
    <cellStyle name="Normal" xfId="0" builtinId="0"/>
    <cellStyle name="Percent" xfId="14" builtinId="5"/>
    <cellStyle name="Procent 2" xfId="3"/>
    <cellStyle name="Procent 2 2" xfId="6"/>
    <cellStyle name="Procent 2 3" xfId="7"/>
    <cellStyle name="Procent 3" xfId="8"/>
    <cellStyle name="Procent 4" xfId="13"/>
    <cellStyle name="Standaard 2" xfId="1"/>
    <cellStyle name="Standaard 2 2" xfId="9"/>
    <cellStyle name="Standaard 2 3" xfId="4"/>
    <cellStyle name="Standaard 2 4" xfId="10"/>
    <cellStyle name="Standaard 3" xfId="11"/>
    <cellStyle name="Standaard 4" xfId="2"/>
  </cellStyles>
  <dxfs count="1">
    <dxf>
      <font>
        <color rgb="FFFF0000"/>
      </font>
    </dxf>
  </dxfs>
  <tableStyles count="0" defaultTableStyle="TableStyleMedium2" defaultPivotStyle="PivotStyleLight16"/>
  <colors>
    <mruColors>
      <color rgb="FFFFFFCC"/>
      <color rgb="FFCCFFCC"/>
      <color rgb="FF99FF66"/>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smoothMarker"/>
        <c:ser>
          <c:idx val="0"/>
          <c:order val="0"/>
          <c:tx>
            <c:strRef>
              <c:f>Database!$O$81</c:f>
              <c:strCache>
                <c:ptCount val="1"/>
                <c:pt idx="0">
                  <c:v>No</c:v>
                </c:pt>
              </c:strCache>
            </c:strRef>
          </c:tx>
          <c:marker>
            <c:symbol val="none"/>
          </c:marker>
          <c:xVal>
            <c:numRef>
              <c:f>Database!$N$82:$N$89</c:f>
              <c:numCache>
                <c:formatCode>0.0</c:formatCode>
                <c:ptCount val="8"/>
                <c:pt idx="0">
                  <c:v>0</c:v>
                </c:pt>
                <c:pt idx="1">
                  <c:v>0.1</c:v>
                </c:pt>
                <c:pt idx="2">
                  <c:v>0.2</c:v>
                </c:pt>
                <c:pt idx="3">
                  <c:v>0.30000000000000004</c:v>
                </c:pt>
                <c:pt idx="4">
                  <c:v>0.4</c:v>
                </c:pt>
                <c:pt idx="5">
                  <c:v>0.5</c:v>
                </c:pt>
                <c:pt idx="6">
                  <c:v>0.6</c:v>
                </c:pt>
                <c:pt idx="7">
                  <c:v>0.7</c:v>
                </c:pt>
              </c:numCache>
            </c:numRef>
          </c:xVal>
          <c:yVal>
            <c:numRef>
              <c:f>Database!$O$82:$O$89</c:f>
              <c:numCache>
                <c:formatCode>0.00</c:formatCode>
                <c:ptCount val="8"/>
                <c:pt idx="0">
                  <c:v>0</c:v>
                </c:pt>
                <c:pt idx="1">
                  <c:v>0.3</c:v>
                </c:pt>
                <c:pt idx="2">
                  <c:v>0.55000000000000004</c:v>
                </c:pt>
                <c:pt idx="3">
                  <c:v>0.75</c:v>
                </c:pt>
                <c:pt idx="4">
                  <c:v>0.85</c:v>
                </c:pt>
                <c:pt idx="5">
                  <c:v>0.95</c:v>
                </c:pt>
                <c:pt idx="6">
                  <c:v>0.98</c:v>
                </c:pt>
                <c:pt idx="7">
                  <c:v>1</c:v>
                </c:pt>
              </c:numCache>
            </c:numRef>
          </c:yVal>
          <c:smooth val="1"/>
        </c:ser>
        <c:ser>
          <c:idx val="1"/>
          <c:order val="1"/>
          <c:tx>
            <c:strRef>
              <c:f>Database!$P$81</c:f>
              <c:strCache>
                <c:ptCount val="1"/>
                <c:pt idx="0">
                  <c:v>Yes</c:v>
                </c:pt>
              </c:strCache>
            </c:strRef>
          </c:tx>
          <c:marker>
            <c:symbol val="none"/>
          </c:marker>
          <c:xVal>
            <c:numRef>
              <c:f>Database!$N$82:$N$89</c:f>
              <c:numCache>
                <c:formatCode>0.0</c:formatCode>
                <c:ptCount val="8"/>
                <c:pt idx="0">
                  <c:v>0</c:v>
                </c:pt>
                <c:pt idx="1">
                  <c:v>0.1</c:v>
                </c:pt>
                <c:pt idx="2">
                  <c:v>0.2</c:v>
                </c:pt>
                <c:pt idx="3">
                  <c:v>0.30000000000000004</c:v>
                </c:pt>
                <c:pt idx="4">
                  <c:v>0.4</c:v>
                </c:pt>
                <c:pt idx="5">
                  <c:v>0.5</c:v>
                </c:pt>
                <c:pt idx="6">
                  <c:v>0.6</c:v>
                </c:pt>
                <c:pt idx="7">
                  <c:v>0.7</c:v>
                </c:pt>
              </c:numCache>
            </c:numRef>
          </c:xVal>
          <c:yVal>
            <c:numRef>
              <c:f>Database!$P$82:$P$89</c:f>
              <c:numCache>
                <c:formatCode>0.00</c:formatCode>
                <c:ptCount val="8"/>
                <c:pt idx="0">
                  <c:v>0</c:v>
                </c:pt>
                <c:pt idx="1">
                  <c:v>0.37</c:v>
                </c:pt>
                <c:pt idx="2">
                  <c:v>0.7</c:v>
                </c:pt>
                <c:pt idx="3">
                  <c:v>0.85</c:v>
                </c:pt>
                <c:pt idx="4">
                  <c:v>0.94</c:v>
                </c:pt>
                <c:pt idx="5">
                  <c:v>0.98</c:v>
                </c:pt>
                <c:pt idx="6">
                  <c:v>1</c:v>
                </c:pt>
                <c:pt idx="7">
                  <c:v>1</c:v>
                </c:pt>
              </c:numCache>
            </c:numRef>
          </c:yVal>
          <c:smooth val="1"/>
        </c:ser>
        <c:dLbls/>
        <c:axId val="66622976"/>
        <c:axId val="66624896"/>
      </c:scatterChart>
      <c:valAx>
        <c:axId val="66622976"/>
        <c:scaling>
          <c:orientation val="minMax"/>
        </c:scaling>
        <c:axPos val="b"/>
        <c:minorGridlines/>
        <c:title>
          <c:tx>
            <c:rich>
              <a:bodyPr/>
              <a:lstStyle/>
              <a:p>
                <a:pPr>
                  <a:defRPr/>
                </a:pPr>
                <a:r>
                  <a:rPr lang="en-US"/>
                  <a:t>Psup/(Prated+Psub)</a:t>
                </a:r>
              </a:p>
            </c:rich>
          </c:tx>
        </c:title>
        <c:numFmt formatCode="0.0" sourceLinked="1"/>
        <c:tickLblPos val="nextTo"/>
        <c:crossAx val="66624896"/>
        <c:crosses val="autoZero"/>
        <c:crossBetween val="midCat"/>
        <c:minorUnit val="0.1"/>
      </c:valAx>
      <c:valAx>
        <c:axId val="66624896"/>
        <c:scaling>
          <c:orientation val="minMax"/>
          <c:max val="1"/>
        </c:scaling>
        <c:axPos val="l"/>
        <c:majorGridlines/>
        <c:title>
          <c:tx>
            <c:rich>
              <a:bodyPr rot="-5400000" vert="horz"/>
              <a:lstStyle/>
              <a:p>
                <a:pPr>
                  <a:defRPr/>
                </a:pPr>
                <a:r>
                  <a:rPr lang="en-US"/>
                  <a:t>'II'</a:t>
                </a:r>
              </a:p>
            </c:rich>
          </c:tx>
        </c:title>
        <c:numFmt formatCode="0.00" sourceLinked="1"/>
        <c:tickLblPos val="nextTo"/>
        <c:crossAx val="66622976"/>
        <c:crosses val="autoZero"/>
        <c:crossBetween val="midCat"/>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smoothMarker"/>
        <c:ser>
          <c:idx val="0"/>
          <c:order val="0"/>
          <c:tx>
            <c:strRef>
              <c:f>Database!$O$94</c:f>
              <c:strCache>
                <c:ptCount val="1"/>
                <c:pt idx="0">
                  <c:v>No</c:v>
                </c:pt>
              </c:strCache>
            </c:strRef>
          </c:tx>
          <c:marker>
            <c:symbol val="none"/>
          </c:marker>
          <c:xVal>
            <c:numRef>
              <c:f>Database!$N$95:$N$102</c:f>
              <c:numCache>
                <c:formatCode>0.0</c:formatCode>
                <c:ptCount val="8"/>
                <c:pt idx="0">
                  <c:v>0</c:v>
                </c:pt>
                <c:pt idx="1">
                  <c:v>0.1</c:v>
                </c:pt>
                <c:pt idx="2">
                  <c:v>0.2</c:v>
                </c:pt>
                <c:pt idx="3">
                  <c:v>0.30000000000000004</c:v>
                </c:pt>
                <c:pt idx="4">
                  <c:v>0.4</c:v>
                </c:pt>
                <c:pt idx="5">
                  <c:v>0.5</c:v>
                </c:pt>
                <c:pt idx="6">
                  <c:v>0.6</c:v>
                </c:pt>
                <c:pt idx="7">
                  <c:v>0.7</c:v>
                </c:pt>
              </c:numCache>
            </c:numRef>
          </c:xVal>
          <c:yVal>
            <c:numRef>
              <c:f>Database!$O$95:$O$102</c:f>
              <c:numCache>
                <c:formatCode>0.00</c:formatCode>
                <c:ptCount val="8"/>
                <c:pt idx="0">
                  <c:v>1</c:v>
                </c:pt>
                <c:pt idx="1">
                  <c:v>0.7</c:v>
                </c:pt>
                <c:pt idx="2">
                  <c:v>0.45</c:v>
                </c:pt>
                <c:pt idx="3">
                  <c:v>0.25</c:v>
                </c:pt>
                <c:pt idx="4">
                  <c:v>0.15</c:v>
                </c:pt>
                <c:pt idx="5">
                  <c:v>0.05</c:v>
                </c:pt>
                <c:pt idx="6">
                  <c:v>0.02</c:v>
                </c:pt>
                <c:pt idx="7">
                  <c:v>0</c:v>
                </c:pt>
              </c:numCache>
            </c:numRef>
          </c:yVal>
          <c:smooth val="1"/>
        </c:ser>
        <c:ser>
          <c:idx val="1"/>
          <c:order val="1"/>
          <c:tx>
            <c:strRef>
              <c:f>Database!$P$94</c:f>
              <c:strCache>
                <c:ptCount val="1"/>
                <c:pt idx="0">
                  <c:v>Yes</c:v>
                </c:pt>
              </c:strCache>
            </c:strRef>
          </c:tx>
          <c:marker>
            <c:symbol val="none"/>
          </c:marker>
          <c:xVal>
            <c:numRef>
              <c:f>Database!$N$95:$N$102</c:f>
              <c:numCache>
                <c:formatCode>0.0</c:formatCode>
                <c:ptCount val="8"/>
                <c:pt idx="0">
                  <c:v>0</c:v>
                </c:pt>
                <c:pt idx="1">
                  <c:v>0.1</c:v>
                </c:pt>
                <c:pt idx="2">
                  <c:v>0.2</c:v>
                </c:pt>
                <c:pt idx="3">
                  <c:v>0.30000000000000004</c:v>
                </c:pt>
                <c:pt idx="4">
                  <c:v>0.4</c:v>
                </c:pt>
                <c:pt idx="5">
                  <c:v>0.5</c:v>
                </c:pt>
                <c:pt idx="6">
                  <c:v>0.6</c:v>
                </c:pt>
                <c:pt idx="7">
                  <c:v>0.7</c:v>
                </c:pt>
              </c:numCache>
            </c:numRef>
          </c:xVal>
          <c:yVal>
            <c:numRef>
              <c:f>Database!$P$95:$P$102</c:f>
              <c:numCache>
                <c:formatCode>0.00</c:formatCode>
                <c:ptCount val="8"/>
                <c:pt idx="0">
                  <c:v>1</c:v>
                </c:pt>
                <c:pt idx="1">
                  <c:v>0.63</c:v>
                </c:pt>
                <c:pt idx="2">
                  <c:v>0.3</c:v>
                </c:pt>
                <c:pt idx="3">
                  <c:v>0.15</c:v>
                </c:pt>
                <c:pt idx="4">
                  <c:v>0.06</c:v>
                </c:pt>
                <c:pt idx="5">
                  <c:v>0.02</c:v>
                </c:pt>
                <c:pt idx="6">
                  <c:v>0</c:v>
                </c:pt>
                <c:pt idx="7">
                  <c:v>0</c:v>
                </c:pt>
              </c:numCache>
            </c:numRef>
          </c:yVal>
          <c:smooth val="1"/>
        </c:ser>
        <c:dLbls/>
        <c:axId val="66683648"/>
        <c:axId val="66685568"/>
      </c:scatterChart>
      <c:valAx>
        <c:axId val="66683648"/>
        <c:scaling>
          <c:orientation val="minMax"/>
        </c:scaling>
        <c:axPos val="b"/>
        <c:minorGridlines/>
        <c:title>
          <c:tx>
            <c:rich>
              <a:bodyPr/>
              <a:lstStyle/>
              <a:p>
                <a:pPr>
                  <a:defRPr/>
                </a:pPr>
                <a:r>
                  <a:rPr lang="en-US"/>
                  <a:t>Prated/(Prated+Psub)</a:t>
                </a:r>
              </a:p>
            </c:rich>
          </c:tx>
        </c:title>
        <c:numFmt formatCode="0.0" sourceLinked="1"/>
        <c:tickLblPos val="nextTo"/>
        <c:crossAx val="66685568"/>
        <c:crosses val="autoZero"/>
        <c:crossBetween val="midCat"/>
        <c:minorUnit val="0.1"/>
      </c:valAx>
      <c:valAx>
        <c:axId val="66685568"/>
        <c:scaling>
          <c:orientation val="minMax"/>
          <c:max val="1"/>
        </c:scaling>
        <c:axPos val="l"/>
        <c:majorGridlines/>
        <c:title>
          <c:tx>
            <c:rich>
              <a:bodyPr rot="-5400000" vert="horz"/>
              <a:lstStyle/>
              <a:p>
                <a:pPr>
                  <a:defRPr/>
                </a:pPr>
                <a:r>
                  <a:rPr lang="en-US"/>
                  <a:t>'II'</a:t>
                </a:r>
              </a:p>
            </c:rich>
          </c:tx>
        </c:title>
        <c:numFmt formatCode="0.00" sourceLinked="1"/>
        <c:tickLblPos val="nextTo"/>
        <c:crossAx val="66683648"/>
        <c:crosses val="autoZero"/>
        <c:crossBetween val="midCat"/>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mailto:vaconsult@vaconsult.net"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154782</xdr:colOff>
      <xdr:row>4</xdr:row>
      <xdr:rowOff>59531</xdr:rowOff>
    </xdr:from>
    <xdr:ext cx="6572249" cy="3536866"/>
    <xdr:sp macro="" textlink="">
      <xdr:nvSpPr>
        <xdr:cNvPr id="3" name="Tekstvak 2"/>
        <xdr:cNvSpPr txBox="1"/>
      </xdr:nvSpPr>
      <xdr:spPr>
        <a:xfrm>
          <a:off x="154782" y="821531"/>
          <a:ext cx="6572249" cy="3536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b="1">
              <a:solidFill>
                <a:schemeClr val="tx1"/>
              </a:solidFill>
              <a:effectLst/>
              <a:latin typeface="+mn-lt"/>
              <a:ea typeface="+mn-ea"/>
              <a:cs typeface="+mn-cs"/>
            </a:rPr>
            <a:t>Introduction</a:t>
          </a:r>
          <a:r>
            <a:rPr lang="nl-NL" sz="1100">
              <a:solidFill>
                <a:schemeClr val="tx1"/>
              </a:solidFill>
              <a:effectLst/>
              <a:latin typeface="+mn-lt"/>
              <a:ea typeface="+mn-ea"/>
              <a:cs typeface="+mn-cs"/>
            </a:rPr>
            <a:t>:</a:t>
          </a:r>
        </a:p>
        <a:p>
          <a:r>
            <a:rPr lang="en-US" sz="1100">
              <a:solidFill>
                <a:schemeClr val="tx1"/>
              </a:solidFill>
              <a:effectLst/>
              <a:latin typeface="+mn-lt"/>
              <a:ea typeface="+mn-ea"/>
              <a:cs typeface="+mn-cs"/>
            </a:rPr>
            <a:t>There are two types of labels: </a:t>
          </a:r>
          <a:r>
            <a:rPr lang="en-US" sz="1100" i="1">
              <a:solidFill>
                <a:schemeClr val="tx1"/>
              </a:solidFill>
              <a:effectLst/>
              <a:latin typeface="+mn-lt"/>
              <a:ea typeface="+mn-ea"/>
              <a:cs typeface="+mn-cs"/>
            </a:rPr>
            <a:t>product</a:t>
          </a:r>
          <a:r>
            <a:rPr lang="en-US" sz="1100">
              <a:solidFill>
                <a:schemeClr val="tx1"/>
              </a:solidFill>
              <a:effectLst/>
              <a:latin typeface="+mn-lt"/>
              <a:ea typeface="+mn-ea"/>
              <a:cs typeface="+mn-cs"/>
            </a:rPr>
            <a:t> labels and </a:t>
          </a:r>
          <a:r>
            <a:rPr lang="en-US" sz="1100" i="1">
              <a:solidFill>
                <a:schemeClr val="tx1"/>
              </a:solidFill>
              <a:effectLst/>
              <a:latin typeface="+mn-lt"/>
              <a:ea typeface="+mn-ea"/>
              <a:cs typeface="+mn-cs"/>
            </a:rPr>
            <a:t>package</a:t>
          </a:r>
          <a:r>
            <a:rPr lang="en-US" sz="1100">
              <a:solidFill>
                <a:schemeClr val="tx1"/>
              </a:solidFill>
              <a:effectLst/>
              <a:latin typeface="+mn-lt"/>
              <a:ea typeface="+mn-ea"/>
              <a:cs typeface="+mn-cs"/>
            </a:rPr>
            <a:t> labels. A package label represents the rating of a ‘system’  built up from two or more products. Usually the package is assembled by a dealer or installer. The contents</a:t>
          </a:r>
          <a:r>
            <a:rPr lang="en-US" sz="1100" baseline="0">
              <a:solidFill>
                <a:schemeClr val="tx1"/>
              </a:solidFill>
              <a:effectLst/>
              <a:latin typeface="+mn-lt"/>
              <a:ea typeface="+mn-ea"/>
              <a:cs typeface="+mn-cs"/>
            </a:rPr>
            <a:t> and layout of the labels is prescribed in the Ecodesign energy labeling directive.</a:t>
          </a:r>
          <a:endParaRPr lang="nl-NL" sz="1100">
            <a:solidFill>
              <a:schemeClr val="tx1"/>
            </a:solidFill>
            <a:effectLst/>
            <a:latin typeface="+mn-lt"/>
            <a:ea typeface="+mn-ea"/>
            <a:cs typeface="+mn-cs"/>
          </a:endParaRPr>
        </a:p>
        <a:p>
          <a:r>
            <a:rPr lang="en-US" sz="1100">
              <a:solidFill>
                <a:schemeClr val="tx1"/>
              </a:solidFill>
              <a:effectLst/>
              <a:latin typeface="+mn-lt"/>
              <a:ea typeface="+mn-ea"/>
              <a:cs typeface="+mn-cs"/>
            </a:rPr>
            <a:t>A label is composed from the specifications in a </a:t>
          </a:r>
          <a:r>
            <a:rPr lang="en-US" sz="1100" i="1">
              <a:solidFill>
                <a:schemeClr val="tx1"/>
              </a:solidFill>
              <a:effectLst/>
              <a:latin typeface="+mn-lt"/>
              <a:ea typeface="+mn-ea"/>
              <a:cs typeface="+mn-cs"/>
            </a:rPr>
            <a:t>product</a:t>
          </a:r>
          <a:r>
            <a:rPr lang="en-US" sz="1100">
              <a:solidFill>
                <a:schemeClr val="tx1"/>
              </a:solidFill>
              <a:effectLst/>
              <a:latin typeface="+mn-lt"/>
              <a:ea typeface="+mn-ea"/>
              <a:cs typeface="+mn-cs"/>
            </a:rPr>
            <a:t> or </a:t>
          </a:r>
          <a:r>
            <a:rPr lang="en-US" sz="1100" i="1">
              <a:solidFill>
                <a:schemeClr val="tx1"/>
              </a:solidFill>
              <a:effectLst/>
              <a:latin typeface="+mn-lt"/>
              <a:ea typeface="+mn-ea"/>
              <a:cs typeface="+mn-cs"/>
            </a:rPr>
            <a:t>package</a:t>
          </a:r>
          <a:r>
            <a:rPr lang="en-US" sz="1100">
              <a:solidFill>
                <a:schemeClr val="tx1"/>
              </a:solidFill>
              <a:effectLst/>
              <a:latin typeface="+mn-lt"/>
              <a:ea typeface="+mn-ea"/>
              <a:cs typeface="+mn-cs"/>
            </a:rPr>
            <a:t> fiche. The type of information in a fiche, and in the case of a package fiche also the layout, is prescribed in the Eco design energy labeling directive.</a:t>
          </a:r>
          <a:endParaRPr lang="nl-NL" sz="1100">
            <a:solidFill>
              <a:schemeClr val="tx1"/>
            </a:solidFill>
            <a:effectLst/>
            <a:latin typeface="+mn-lt"/>
            <a:ea typeface="+mn-ea"/>
            <a:cs typeface="+mn-cs"/>
          </a:endParaRPr>
        </a:p>
        <a:p>
          <a:r>
            <a:rPr lang="en-US" sz="1100">
              <a:solidFill>
                <a:schemeClr val="tx1"/>
              </a:solidFill>
              <a:effectLst/>
              <a:latin typeface="+mn-lt"/>
              <a:ea typeface="+mn-ea"/>
              <a:cs typeface="+mn-cs"/>
            </a:rPr>
            <a:t>A fiche is composed from the specifications in a technical document. A technical document contains the results of tests or otherwise obtained specifications. The type of information in a technical document is prescribed in the Eco design energy labeling directive.</a:t>
          </a:r>
        </a:p>
        <a:p>
          <a:endParaRPr lang="nl-NL" sz="1100">
            <a:solidFill>
              <a:schemeClr val="tx1"/>
            </a:solidFill>
            <a:effectLst/>
            <a:latin typeface="+mn-lt"/>
            <a:ea typeface="+mn-ea"/>
            <a:cs typeface="+mn-cs"/>
          </a:endParaRPr>
        </a:p>
        <a:p>
          <a:r>
            <a:rPr lang="en-US" sz="1100" b="1">
              <a:solidFill>
                <a:schemeClr val="tx1"/>
              </a:solidFill>
              <a:effectLst/>
              <a:latin typeface="+mn-lt"/>
              <a:ea typeface="+mn-ea"/>
              <a:cs typeface="+mn-cs"/>
            </a:rPr>
            <a:t>The workbook:</a:t>
          </a:r>
          <a:endParaRPr lang="nl-NL" sz="1100">
            <a:solidFill>
              <a:schemeClr val="tx1"/>
            </a:solidFill>
            <a:effectLst/>
            <a:latin typeface="+mn-lt"/>
            <a:ea typeface="+mn-ea"/>
            <a:cs typeface="+mn-cs"/>
          </a:endParaRPr>
        </a:p>
        <a:p>
          <a:r>
            <a:rPr lang="en-US" sz="1100">
              <a:solidFill>
                <a:schemeClr val="tx1"/>
              </a:solidFill>
              <a:effectLst/>
              <a:latin typeface="+mn-lt"/>
              <a:ea typeface="+mn-ea"/>
              <a:cs typeface="+mn-cs"/>
            </a:rPr>
            <a:t>The workbook gives an implementation of the Ecodesign energy labeling on the level of fiches. The workbook is limited to solar thermal relevant fiches and fiches that form the basie</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of a label.  Since each of these fiches give an energy class and system efficiency, the resulting label can be derived from</a:t>
          </a:r>
          <a:r>
            <a:rPr lang="en-US" sz="1100" baseline="0">
              <a:solidFill>
                <a:schemeClr val="tx1"/>
              </a:solidFill>
              <a:effectLst/>
              <a:latin typeface="+mn-lt"/>
              <a:ea typeface="+mn-ea"/>
              <a:cs typeface="+mn-cs"/>
            </a:rPr>
            <a:t> the fiche contents</a:t>
          </a:r>
          <a:r>
            <a:rPr lang="en-US" sz="1100">
              <a:solidFill>
                <a:schemeClr val="tx1"/>
              </a:solidFill>
              <a:effectLst/>
              <a:latin typeface="+mn-lt"/>
              <a:ea typeface="+mn-ea"/>
              <a:cs typeface="+mn-cs"/>
            </a:rPr>
            <a:t>.</a:t>
          </a:r>
          <a:endParaRPr lang="nl-NL" sz="1100">
            <a:solidFill>
              <a:schemeClr val="tx1"/>
            </a:solidFill>
            <a:effectLst/>
            <a:latin typeface="+mn-lt"/>
            <a:ea typeface="+mn-ea"/>
            <a:cs typeface="+mn-cs"/>
          </a:endParaRPr>
        </a:p>
        <a:p>
          <a:r>
            <a:rPr lang="en-US" sz="1100">
              <a:solidFill>
                <a:schemeClr val="tx1"/>
              </a:solidFill>
              <a:effectLst/>
              <a:latin typeface="+mn-lt"/>
              <a:ea typeface="+mn-ea"/>
              <a:cs typeface="+mn-cs"/>
            </a:rPr>
            <a:t>The results of the not implemented fiches, that are needed to compose the implemented fiches, are included in a database. From this database types ,can be selected. Optionally the user can add a limited number of types (and there specifications) to each of the product entrees of the database.</a:t>
          </a:r>
          <a:endParaRPr lang="nl-NL" sz="1100">
            <a:solidFill>
              <a:schemeClr val="tx1"/>
            </a:solidFill>
            <a:effectLst/>
            <a:latin typeface="+mn-lt"/>
            <a:ea typeface="+mn-ea"/>
            <a:cs typeface="+mn-cs"/>
          </a:endParaRPr>
        </a:p>
        <a:p>
          <a:r>
            <a:rPr lang="en-US" sz="1100">
              <a:solidFill>
                <a:schemeClr val="tx1"/>
              </a:solidFill>
              <a:effectLst/>
              <a:latin typeface="+mn-lt"/>
              <a:ea typeface="+mn-ea"/>
              <a:cs typeface="+mn-cs"/>
            </a:rPr>
            <a:t>For simplicity reasons the SOLCAL and SOLICS method are</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not included in the workbook. Instead the solar performance can be inputted by entering a solar fraction.</a:t>
          </a:r>
          <a:endParaRPr lang="nl-NL" sz="1100">
            <a:solidFill>
              <a:schemeClr val="tx1"/>
            </a:solidFill>
            <a:effectLst/>
            <a:latin typeface="+mn-lt"/>
            <a:ea typeface="+mn-ea"/>
            <a:cs typeface="+mn-cs"/>
          </a:endParaRPr>
        </a:p>
        <a:p>
          <a:endParaRPr lang="nl-NL" sz="1100"/>
        </a:p>
      </xdr:txBody>
    </xdr:sp>
    <xdr:clientData/>
  </xdr:oneCellAnchor>
  <xdr:oneCellAnchor>
    <xdr:from>
      <xdr:col>0</xdr:col>
      <xdr:colOff>178593</xdr:colOff>
      <xdr:row>42</xdr:row>
      <xdr:rowOff>11905</xdr:rowOff>
    </xdr:from>
    <xdr:ext cx="6834188" cy="988219"/>
    <xdr:sp macro="" textlink="">
      <xdr:nvSpPr>
        <xdr:cNvPr id="4" name="Tekstvak 3"/>
        <xdr:cNvSpPr txBox="1"/>
      </xdr:nvSpPr>
      <xdr:spPr>
        <a:xfrm>
          <a:off x="178593" y="8012905"/>
          <a:ext cx="6834188" cy="988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NL" sz="1100"/>
            <a:t>The workbook has been developed with financial</a:t>
          </a:r>
          <a:r>
            <a:rPr lang="nl-NL" sz="1100" baseline="0"/>
            <a:t> support from the Solar Certification fund. (=</a:t>
          </a:r>
          <a:r>
            <a:rPr lang="nl-NL" sz="1100" b="1" baseline="0"/>
            <a:t>SCF</a:t>
          </a:r>
          <a:r>
            <a:rPr lang="nl-NL" sz="1100" baseline="0"/>
            <a:t>). </a:t>
          </a:r>
        </a:p>
        <a:p>
          <a:r>
            <a:rPr lang="nl-NL"/>
            <a:t>The Solar Certification Fund (SCF) was set up in 2009, when the Solar Keymark Network (SKN) decided to support activities concerning the development and promotion of the Solar Keymark certification scheme and related standards.</a:t>
          </a:r>
        </a:p>
        <a:p>
          <a:r>
            <a:rPr lang="nl-NL" sz="1100"/>
            <a:t>More</a:t>
          </a:r>
          <a:r>
            <a:rPr lang="nl-NL" sz="1100" baseline="0"/>
            <a:t> information: www.solarkeyrmark.org</a:t>
          </a:r>
          <a:endParaRPr lang="nl-NL" sz="1100"/>
        </a:p>
      </xdr:txBody>
    </xdr:sp>
    <xdr:clientData/>
  </xdr:oneCellAnchor>
  <xdr:oneCellAnchor>
    <xdr:from>
      <xdr:col>0</xdr:col>
      <xdr:colOff>166687</xdr:colOff>
      <xdr:row>48</xdr:row>
      <xdr:rowOff>35718</xdr:rowOff>
    </xdr:from>
    <xdr:ext cx="6869906" cy="953466"/>
    <xdr:sp macro="" textlink="">
      <xdr:nvSpPr>
        <xdr:cNvPr id="5" name="Tekstvak 4">
          <a:hlinkClick xmlns:r="http://schemas.openxmlformats.org/officeDocument/2006/relationships" r:id="rId1"/>
        </xdr:cNvPr>
        <xdr:cNvSpPr txBox="1"/>
      </xdr:nvSpPr>
      <xdr:spPr>
        <a:xfrm>
          <a:off x="166687" y="9179718"/>
          <a:ext cx="6869906"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b="1"/>
            <a:t>vAConsult </a:t>
          </a:r>
          <a:r>
            <a:rPr lang="nl-NL" sz="1100"/>
            <a:t> </a:t>
          </a:r>
          <a:r>
            <a:rPr lang="en-GB"/>
            <a:t>focuses at the crossroads of technology, market and organisation in the highly innovative field of renewable energy. The consultancy has extensive knowledge on matters related to solar thermal energy. Moreover,</a:t>
          </a:r>
          <a:r>
            <a:rPr lang="en-GB" baseline="0"/>
            <a:t> the vAConsult has been involved  in the lobby for Ecodesign Lot 1 &amp; 2 in the previous years.</a:t>
          </a:r>
        </a:p>
        <a:p>
          <a:r>
            <a:rPr lang="en-GB" sz="1100" baseline="0"/>
            <a:t>More information: www.vaconsult.net</a:t>
          </a:r>
        </a:p>
        <a:p>
          <a:r>
            <a:rPr lang="en-GB" sz="1100" baseline="0"/>
            <a:t>Comments for improvements  of the workbook can be send to: vaconsult@vaconsult.net</a:t>
          </a:r>
          <a:endParaRPr lang="nl-N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178593</xdr:colOff>
      <xdr:row>3</xdr:row>
      <xdr:rowOff>83344</xdr:rowOff>
    </xdr:from>
    <xdr:ext cx="3964782" cy="1688306"/>
    <xdr:sp macro="" textlink="">
      <xdr:nvSpPr>
        <xdr:cNvPr id="2" name="Tekstvak 1"/>
        <xdr:cNvSpPr txBox="1"/>
      </xdr:nvSpPr>
      <xdr:spPr>
        <a:xfrm>
          <a:off x="5445918" y="654844"/>
          <a:ext cx="3964782" cy="1688306"/>
        </a:xfrm>
        <a:prstGeom prst="rect">
          <a:avLst/>
        </a:prstGeom>
        <a:noFill/>
        <a:ln>
          <a:solidFill>
            <a:schemeClr val="accent6">
              <a:shade val="95000"/>
              <a:satMod val="10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NL" sz="1100"/>
            <a:t>The tables on the left of this sheet contain the specifications of products. Each product</a:t>
          </a:r>
          <a:r>
            <a:rPr lang="nl-NL" sz="1100" baseline="0"/>
            <a:t> types can be added , but only by adding data in the green cells. </a:t>
          </a:r>
        </a:p>
        <a:p>
          <a:r>
            <a:rPr lang="nl-NL" sz="1100" baseline="0"/>
            <a:t>The specifications are only for illustrative use. Especially for cogenerators and heat pumps no data is publicly available, obtained in conformity with the Ecodesign methods. All of these entrees are therefor questionabal.</a:t>
          </a:r>
        </a:p>
        <a:p>
          <a:endParaRPr lang="nl-NL" sz="1100" baseline="0"/>
        </a:p>
        <a:p>
          <a:r>
            <a:rPr lang="nl-NL" sz="1100" baseline="0"/>
            <a:t>The tables on the right of this sheet cannot be changed!</a:t>
          </a:r>
          <a:endParaRPr lang="nl-NL" sz="1100"/>
        </a:p>
      </xdr:txBody>
    </xdr:sp>
    <xdr:clientData/>
  </xdr:oneCellAnchor>
  <xdr:twoCellAnchor editAs="oneCell">
    <xdr:from>
      <xdr:col>5</xdr:col>
      <xdr:colOff>333375</xdr:colOff>
      <xdr:row>74</xdr:row>
      <xdr:rowOff>38101</xdr:rowOff>
    </xdr:from>
    <xdr:to>
      <xdr:col>12</xdr:col>
      <xdr:colOff>133351</xdr:colOff>
      <xdr:row>86</xdr:row>
      <xdr:rowOff>183233</xdr:rowOff>
    </xdr:to>
    <xdr:pic>
      <xdr:nvPicPr>
        <xdr:cNvPr id="4" name="Afbeelding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600700" y="14135101"/>
          <a:ext cx="4067176" cy="2431132"/>
        </a:xfrm>
        <a:prstGeom prst="rect">
          <a:avLst/>
        </a:prstGeom>
      </xdr:spPr>
    </xdr:pic>
    <xdr:clientData/>
  </xdr:twoCellAnchor>
  <xdr:twoCellAnchor>
    <xdr:from>
      <xdr:col>20</xdr:col>
      <xdr:colOff>428625</xdr:colOff>
      <xdr:row>77</xdr:row>
      <xdr:rowOff>154781</xdr:rowOff>
    </xdr:from>
    <xdr:to>
      <xdr:col>27</xdr:col>
      <xdr:colOff>357188</xdr:colOff>
      <xdr:row>90</xdr:row>
      <xdr:rowOff>175021</xdr:rowOff>
    </xdr:to>
    <xdr:graphicFrame macro="">
      <xdr:nvGraphicFramePr>
        <xdr:cNvPr id="5" name="Grafie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440531</xdr:colOff>
      <xdr:row>91</xdr:row>
      <xdr:rowOff>83344</xdr:rowOff>
    </xdr:from>
    <xdr:to>
      <xdr:col>27</xdr:col>
      <xdr:colOff>369094</xdr:colOff>
      <xdr:row>104</xdr:row>
      <xdr:rowOff>103584</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9</xdr:col>
      <xdr:colOff>140493</xdr:colOff>
      <xdr:row>51</xdr:row>
      <xdr:rowOff>35719</xdr:rowOff>
    </xdr:from>
    <xdr:ext cx="6681789" cy="595313"/>
    <xdr:sp macro="" textlink="">
      <xdr:nvSpPr>
        <xdr:cNvPr id="2" name="Tekstvak 1"/>
        <xdr:cNvSpPr txBox="1"/>
      </xdr:nvSpPr>
      <xdr:spPr>
        <a:xfrm>
          <a:off x="5722143" y="8751094"/>
          <a:ext cx="6681789" cy="595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a:latin typeface="Arial" pitchFamily="34" charset="0"/>
              <a:cs typeface="Arial" pitchFamily="34" charset="0"/>
            </a:rPr>
            <a:t>The energy efficiency of the package of products provided for in this fiche may not correspond to its actual energy efficiency once installed  in a building, as this efficiency is influenced by further factors such as heat losses in the distribution system and the dimensioning of the  products in relation to the building size and characteristics.</a:t>
          </a:r>
        </a:p>
      </xdr:txBody>
    </xdr:sp>
    <xdr:clientData/>
  </xdr:oneCellAnchor>
  <xdr:twoCellAnchor>
    <xdr:from>
      <xdr:col>9</xdr:col>
      <xdr:colOff>1</xdr:colOff>
      <xdr:row>9</xdr:row>
      <xdr:rowOff>35718</xdr:rowOff>
    </xdr:from>
    <xdr:to>
      <xdr:col>18</xdr:col>
      <xdr:colOff>107157</xdr:colOff>
      <xdr:row>10</xdr:row>
      <xdr:rowOff>178593</xdr:rowOff>
    </xdr:to>
    <xdr:sp macro="" textlink="">
      <xdr:nvSpPr>
        <xdr:cNvPr id="5" name="Afgeschuind enkele hoek rechthoek 4"/>
        <xdr:cNvSpPr/>
      </xdr:nvSpPr>
      <xdr:spPr>
        <a:xfrm>
          <a:off x="5581651" y="1493043"/>
          <a:ext cx="2917031" cy="304800"/>
        </a:xfrm>
        <a:prstGeom prst="snip1Rect">
          <a:avLst/>
        </a:prstGeom>
        <a:solidFill>
          <a:schemeClr val="accent1">
            <a:lumMod val="20000"/>
            <a:lumOff val="80000"/>
          </a:schemeClr>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b="1">
              <a:solidFill>
                <a:schemeClr val="accent1">
                  <a:lumMod val="75000"/>
                </a:schemeClr>
              </a:solidFill>
            </a:rPr>
            <a:t>Package fiche: boilers &amp; combi's (figure 1)</a:t>
          </a:r>
        </a:p>
      </xdr:txBody>
    </xdr:sp>
    <xdr:clientData/>
  </xdr:twoCellAnchor>
  <xdr:twoCellAnchor>
    <xdr:from>
      <xdr:col>30</xdr:col>
      <xdr:colOff>21166</xdr:colOff>
      <xdr:row>15</xdr:row>
      <xdr:rowOff>52916</xdr:rowOff>
    </xdr:from>
    <xdr:to>
      <xdr:col>34</xdr:col>
      <xdr:colOff>30691</xdr:colOff>
      <xdr:row>41</xdr:row>
      <xdr:rowOff>127000</xdr:rowOff>
    </xdr:to>
    <xdr:sp macro="" textlink="">
      <xdr:nvSpPr>
        <xdr:cNvPr id="6" name="Tekstvak 5"/>
        <xdr:cNvSpPr txBox="1"/>
      </xdr:nvSpPr>
      <xdr:spPr>
        <a:xfrm>
          <a:off x="12774083" y="2550583"/>
          <a:ext cx="4962525" cy="457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a:t>Specific instructions for this sheet:</a:t>
          </a:r>
        </a:p>
        <a:p>
          <a:r>
            <a:rPr lang="nl-NL" sz="1100">
              <a:solidFill>
                <a:schemeClr val="accent1">
                  <a:lumMod val="75000"/>
                </a:schemeClr>
              </a:solidFill>
            </a:rPr>
            <a:t>- Select the components for the package  in the columns B&amp;C.</a:t>
          </a:r>
          <a:endParaRPr lang="nl-NL" sz="1100" baseline="0">
            <a:solidFill>
              <a:schemeClr val="accent1">
                <a:lumMod val="75000"/>
              </a:schemeClr>
            </a:solidFill>
          </a:endParaRPr>
        </a:p>
        <a:p>
          <a:r>
            <a:rPr lang="nl-NL" sz="1100">
              <a:solidFill>
                <a:schemeClr val="accent1">
                  <a:lumMod val="75000"/>
                </a:schemeClr>
              </a:solidFill>
            </a:rPr>
            <a:t>The sheet calculates the energy efficiency class of the  package</a:t>
          </a:r>
          <a:r>
            <a:rPr lang="nl-NL" sz="1100" baseline="0">
              <a:solidFill>
                <a:schemeClr val="accent1">
                  <a:lumMod val="75000"/>
                </a:schemeClr>
              </a:solidFill>
            </a:rPr>
            <a:t> and the energy class.</a:t>
          </a:r>
        </a:p>
        <a:p>
          <a:endParaRPr lang="nl-NL" sz="1100" baseline="0"/>
        </a:p>
        <a:p>
          <a:r>
            <a:rPr lang="nl-NL" sz="1100" b="1" baseline="0"/>
            <a:t>Remark 1:</a:t>
          </a:r>
        </a:p>
        <a:p>
          <a:r>
            <a:rPr lang="nl-NL" sz="1100"/>
            <a:t>This</a:t>
          </a:r>
          <a:r>
            <a:rPr lang="nl-NL" sz="1100" baseline="0"/>
            <a:t> fiche is completed based on specifications from the product fiches of it's components. </a:t>
          </a:r>
        </a:p>
        <a:p>
          <a:endParaRPr lang="nl-NL" sz="1100" baseline="0"/>
        </a:p>
        <a:p>
          <a:r>
            <a:rPr lang="nl-NL" sz="1100" b="1" baseline="0"/>
            <a:t>Remark2:</a:t>
          </a:r>
        </a:p>
        <a:p>
          <a:r>
            <a:rPr lang="nl-NL" sz="1100"/>
            <a:t>Additional types of  each of the components  can</a:t>
          </a:r>
          <a:r>
            <a:rPr lang="nl-NL" sz="1100" baseline="0"/>
            <a:t> be added in the sheet: 'Database'  in the apporporiate table.</a:t>
          </a:r>
        </a:p>
        <a:p>
          <a:endParaRPr lang="nl-NL" sz="1100" baseline="0"/>
        </a:p>
        <a:p>
          <a:pPr marL="0" marR="0" indent="0" defTabSz="914400" eaLnBrk="1" fontAlgn="auto" latinLnBrk="0" hangingPunct="1">
            <a:lnSpc>
              <a:spcPct val="100000"/>
            </a:lnSpc>
            <a:spcBef>
              <a:spcPts val="0"/>
            </a:spcBef>
            <a:spcAft>
              <a:spcPts val="0"/>
            </a:spcAft>
            <a:buClrTx/>
            <a:buSzTx/>
            <a:buFontTx/>
            <a:buNone/>
            <a:tabLst/>
            <a:defRPr/>
          </a:pPr>
          <a:r>
            <a:rPr lang="nl-NL" sz="1100" i="1" baseline="0">
              <a:solidFill>
                <a:schemeClr val="dk1"/>
              </a:solidFill>
              <a:effectLst/>
              <a:latin typeface="+mn-lt"/>
              <a:ea typeface="+mn-ea"/>
              <a:cs typeface="+mn-cs"/>
            </a:rPr>
            <a:t>Explanation of symbols:</a:t>
          </a:r>
          <a:endParaRPr lang="nl-NL">
            <a:effectLst/>
          </a:endParaRPr>
        </a:p>
        <a:p>
          <a:r>
            <a:rPr lang="en-GB" sz="1100">
              <a:solidFill>
                <a:schemeClr val="dk1"/>
              </a:solidFill>
              <a:effectLst/>
              <a:latin typeface="+mn-lt"/>
              <a:ea typeface="+mn-ea"/>
              <a:cs typeface="+mn-cs"/>
            </a:rPr>
            <a:t>'I'	Seasonal space heating energy efficiency of boiler (%)</a:t>
          </a:r>
          <a:endParaRPr lang="nl-NL">
            <a:effectLst/>
          </a:endParaRPr>
        </a:p>
        <a:p>
          <a:r>
            <a:rPr lang="en-GB" sz="1100">
              <a:solidFill>
                <a:schemeClr val="dk1"/>
              </a:solidFill>
              <a:effectLst/>
              <a:latin typeface="+mn-lt"/>
              <a:ea typeface="+mn-ea"/>
              <a:cs typeface="+mn-cs"/>
            </a:rPr>
            <a:t>'II'	Factor weighting heat output preferential / supplementary…</a:t>
          </a:r>
          <a:endParaRPr lang="nl-NL">
            <a:effectLst/>
          </a:endParaRPr>
        </a:p>
        <a:p>
          <a:r>
            <a:rPr lang="en-GB" sz="1100">
              <a:solidFill>
                <a:schemeClr val="dk1"/>
              </a:solidFill>
              <a:effectLst/>
              <a:latin typeface="+mn-lt"/>
              <a:ea typeface="+mn-ea"/>
              <a:cs typeface="+mn-cs"/>
            </a:rPr>
            <a:t>'III'	= 294/(11 x Prated)		</a:t>
          </a:r>
          <a:endParaRPr lang="nl-NL">
            <a:effectLst/>
          </a:endParaRPr>
        </a:p>
        <a:p>
          <a:r>
            <a:rPr lang="en-GB" sz="1100">
              <a:solidFill>
                <a:schemeClr val="dk1"/>
              </a:solidFill>
              <a:effectLst/>
              <a:latin typeface="+mn-lt"/>
              <a:ea typeface="+mn-ea"/>
              <a:cs typeface="+mn-cs"/>
            </a:rPr>
            <a:t>'IV'	= 115/(11 x Prated)		</a:t>
          </a:r>
          <a:endParaRPr lang="nl-NL">
            <a:effectLst/>
          </a:endParaRPr>
        </a:p>
        <a:p>
          <a:r>
            <a:rPr lang="en-GB" sz="1100">
              <a:solidFill>
                <a:schemeClr val="dk1"/>
              </a:solidFill>
              <a:effectLst/>
              <a:latin typeface="+mn-lt"/>
              <a:ea typeface="+mn-ea"/>
              <a:cs typeface="+mn-cs"/>
            </a:rPr>
            <a:t>Prated	Rated heat output		</a:t>
          </a:r>
          <a:endParaRPr lang="nl-NL">
            <a:effectLst/>
          </a:endParaRPr>
        </a:p>
        <a:p>
          <a:r>
            <a:rPr lang="en-GB" sz="1100">
              <a:solidFill>
                <a:schemeClr val="dk1"/>
              </a:solidFill>
              <a:effectLst/>
              <a:latin typeface="+mn-lt"/>
              <a:ea typeface="+mn-ea"/>
              <a:cs typeface="+mn-cs"/>
            </a:rPr>
            <a:t>Value	Raleted to class of temperature control	</a:t>
          </a:r>
          <a:endParaRPr lang="nl-NL">
            <a:effectLst/>
          </a:endParaRPr>
        </a:p>
        <a:p>
          <a:r>
            <a:rPr lang="en-GB" sz="1100">
              <a:solidFill>
                <a:schemeClr val="dk1"/>
              </a:solidFill>
              <a:effectLst/>
              <a:latin typeface="+mn-lt"/>
              <a:ea typeface="+mn-ea"/>
              <a:cs typeface="+mn-cs"/>
            </a:rPr>
            <a:t>ɳsys	Seasonal space heater energy efficiency of supplementary device</a:t>
          </a:r>
          <a:endParaRPr lang="nl-NL">
            <a:effectLst/>
          </a:endParaRPr>
        </a:p>
        <a:p>
          <a:r>
            <a:rPr lang="en-GB" sz="1100">
              <a:solidFill>
                <a:schemeClr val="dk1"/>
              </a:solidFill>
              <a:effectLst/>
              <a:latin typeface="+mn-lt"/>
              <a:ea typeface="+mn-ea"/>
              <a:cs typeface="+mn-cs"/>
            </a:rPr>
            <a:t>Acol	Collector aperture area [m2]		</a:t>
          </a:r>
          <a:endParaRPr lang="nl-NL">
            <a:effectLst/>
          </a:endParaRPr>
        </a:p>
        <a:p>
          <a:r>
            <a:rPr lang="en-GB" sz="1100">
              <a:solidFill>
                <a:schemeClr val="dk1"/>
              </a:solidFill>
              <a:effectLst/>
              <a:latin typeface="+mn-lt"/>
              <a:ea typeface="+mn-ea"/>
              <a:cs typeface="+mn-cs"/>
            </a:rPr>
            <a:t>Vsto	Volume of heat storage tank [m3]	</a:t>
          </a:r>
          <a:endParaRPr lang="nl-NL">
            <a:effectLst/>
          </a:endParaRPr>
        </a:p>
        <a:p>
          <a:r>
            <a:rPr lang="el-GR" sz="1100">
              <a:solidFill>
                <a:schemeClr val="dk1"/>
              </a:solidFill>
              <a:effectLst/>
              <a:latin typeface="+mn-lt"/>
              <a:ea typeface="+mn-ea"/>
              <a:cs typeface="+mn-cs"/>
            </a:rPr>
            <a:t>η</a:t>
          </a:r>
          <a:r>
            <a:rPr lang="en-GB" sz="1100">
              <a:solidFill>
                <a:schemeClr val="dk1"/>
              </a:solidFill>
              <a:effectLst/>
              <a:latin typeface="+mn-lt"/>
              <a:ea typeface="+mn-ea"/>
              <a:cs typeface="+mn-cs"/>
            </a:rPr>
            <a:t>col	Collector efficiency at 40K, 1000 W/m2) [%]	</a:t>
          </a:r>
          <a:endParaRPr lang="nl-NL">
            <a:effectLst/>
          </a:endParaRPr>
        </a:p>
        <a:p>
          <a:r>
            <a:rPr lang="en-GB" sz="1100">
              <a:solidFill>
                <a:schemeClr val="dk1"/>
              </a:solidFill>
              <a:effectLst/>
              <a:latin typeface="+mn-lt"/>
              <a:ea typeface="+mn-ea"/>
              <a:cs typeface="+mn-cs"/>
            </a:rPr>
            <a:t>Usto	Eco design energy label class of the heat storage  (-&gt; 'tank rating')</a:t>
          </a:r>
          <a:endParaRPr lang="nl-NL">
            <a:effectLst/>
          </a:endParaRPr>
        </a:p>
        <a:p>
          <a:endParaRPr lang="nl-NL"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176212</xdr:colOff>
      <xdr:row>38</xdr:row>
      <xdr:rowOff>119061</xdr:rowOff>
    </xdr:from>
    <xdr:ext cx="6681788" cy="678657"/>
    <xdr:sp macro="" textlink="">
      <xdr:nvSpPr>
        <xdr:cNvPr id="2" name="Tekstvak 1"/>
        <xdr:cNvSpPr txBox="1"/>
      </xdr:nvSpPr>
      <xdr:spPr>
        <a:xfrm>
          <a:off x="5719762" y="6681786"/>
          <a:ext cx="6681788" cy="678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a:latin typeface="Arial" pitchFamily="34" charset="0"/>
              <a:cs typeface="Arial" pitchFamily="34" charset="0"/>
            </a:rPr>
            <a:t>The energy efficiency of the package of products provided for in this fiche may not correspond to its actual energy efficiency once installed  in a building, as this efficiency is influenced by further factors such as heat losses in the distribution system and the dimensioning of the  products in relation to the building size and characteristics.</a:t>
          </a:r>
        </a:p>
      </xdr:txBody>
    </xdr:sp>
    <xdr:clientData/>
  </xdr:oneCellAnchor>
  <xdr:twoCellAnchor>
    <xdr:from>
      <xdr:col>9</xdr:col>
      <xdr:colOff>0</xdr:colOff>
      <xdr:row>9</xdr:row>
      <xdr:rowOff>-1</xdr:rowOff>
    </xdr:from>
    <xdr:to>
      <xdr:col>19</xdr:col>
      <xdr:colOff>11906</xdr:colOff>
      <xdr:row>10</xdr:row>
      <xdr:rowOff>142874</xdr:rowOff>
    </xdr:to>
    <xdr:sp macro="" textlink="">
      <xdr:nvSpPr>
        <xdr:cNvPr id="5" name="Afgeschuind enkele hoek rechthoek 4"/>
        <xdr:cNvSpPr/>
      </xdr:nvSpPr>
      <xdr:spPr>
        <a:xfrm>
          <a:off x="5543550" y="1457324"/>
          <a:ext cx="2945606" cy="304800"/>
        </a:xfrm>
        <a:prstGeom prst="snip1Rect">
          <a:avLst/>
        </a:prstGeom>
        <a:solidFill>
          <a:schemeClr val="accent1">
            <a:lumMod val="20000"/>
            <a:lumOff val="80000"/>
          </a:schemeClr>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b="1">
              <a:solidFill>
                <a:schemeClr val="accent1">
                  <a:lumMod val="75000"/>
                </a:schemeClr>
              </a:solidFill>
            </a:rPr>
            <a:t>Package fiche: cogeneration (figure 2)</a:t>
          </a:r>
        </a:p>
      </xdr:txBody>
    </xdr:sp>
    <xdr:clientData/>
  </xdr:twoCellAnchor>
  <xdr:twoCellAnchor>
    <xdr:from>
      <xdr:col>30</xdr:col>
      <xdr:colOff>10583</xdr:colOff>
      <xdr:row>14</xdr:row>
      <xdr:rowOff>158749</xdr:rowOff>
    </xdr:from>
    <xdr:to>
      <xdr:col>33</xdr:col>
      <xdr:colOff>506941</xdr:colOff>
      <xdr:row>42</xdr:row>
      <xdr:rowOff>74083</xdr:rowOff>
    </xdr:to>
    <xdr:sp macro="" textlink="">
      <xdr:nvSpPr>
        <xdr:cNvPr id="6" name="Tekstvak 5"/>
        <xdr:cNvSpPr txBox="1"/>
      </xdr:nvSpPr>
      <xdr:spPr>
        <a:xfrm>
          <a:off x="12689416" y="2465916"/>
          <a:ext cx="4962525" cy="457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a:t>Specific instructions for this sheet:</a:t>
          </a:r>
        </a:p>
        <a:p>
          <a:r>
            <a:rPr lang="nl-NL" sz="1100">
              <a:solidFill>
                <a:schemeClr val="accent1">
                  <a:lumMod val="75000"/>
                </a:schemeClr>
              </a:solidFill>
            </a:rPr>
            <a:t>- Select the components for the package  in the columns B&amp;C.</a:t>
          </a:r>
          <a:endParaRPr lang="nl-NL" sz="1100" baseline="0">
            <a:solidFill>
              <a:schemeClr val="accent1">
                <a:lumMod val="75000"/>
              </a:schemeClr>
            </a:solidFill>
          </a:endParaRPr>
        </a:p>
        <a:p>
          <a:r>
            <a:rPr lang="nl-NL" sz="1100">
              <a:solidFill>
                <a:schemeClr val="accent1">
                  <a:lumMod val="75000"/>
                </a:schemeClr>
              </a:solidFill>
            </a:rPr>
            <a:t>The sheet calculates the energy efficiency class of the  package</a:t>
          </a:r>
          <a:r>
            <a:rPr lang="nl-NL" sz="1100" baseline="0">
              <a:solidFill>
                <a:schemeClr val="accent1">
                  <a:lumMod val="75000"/>
                </a:schemeClr>
              </a:solidFill>
            </a:rPr>
            <a:t> and the energy class.</a:t>
          </a:r>
        </a:p>
        <a:p>
          <a:endParaRPr lang="nl-NL" sz="1100" baseline="0"/>
        </a:p>
        <a:p>
          <a:r>
            <a:rPr lang="nl-NL" sz="1100" b="1" baseline="0"/>
            <a:t>Remark 1:</a:t>
          </a:r>
        </a:p>
        <a:p>
          <a:r>
            <a:rPr lang="nl-NL" sz="1100"/>
            <a:t>This</a:t>
          </a:r>
          <a:r>
            <a:rPr lang="nl-NL" sz="1100" baseline="0"/>
            <a:t> fiche is completed based on specifications from the product fiches of it's components. </a:t>
          </a:r>
        </a:p>
        <a:p>
          <a:endParaRPr lang="nl-NL" sz="1100" baseline="0"/>
        </a:p>
        <a:p>
          <a:r>
            <a:rPr lang="nl-NL" sz="1100" b="1" baseline="0"/>
            <a:t>Remark2:</a:t>
          </a:r>
        </a:p>
        <a:p>
          <a:r>
            <a:rPr lang="nl-NL" sz="1100"/>
            <a:t>Additional types of  each of the components  can</a:t>
          </a:r>
          <a:r>
            <a:rPr lang="nl-NL" sz="1100" baseline="0"/>
            <a:t> be added in the sheet: 'Database'  in the apporporiate table.</a:t>
          </a:r>
        </a:p>
        <a:p>
          <a:endParaRPr lang="nl-NL" sz="1100" baseline="0"/>
        </a:p>
        <a:p>
          <a:pPr marL="0" marR="0" indent="0" defTabSz="914400" eaLnBrk="1" fontAlgn="auto" latinLnBrk="0" hangingPunct="1">
            <a:lnSpc>
              <a:spcPct val="100000"/>
            </a:lnSpc>
            <a:spcBef>
              <a:spcPts val="0"/>
            </a:spcBef>
            <a:spcAft>
              <a:spcPts val="0"/>
            </a:spcAft>
            <a:buClrTx/>
            <a:buSzTx/>
            <a:buFontTx/>
            <a:buNone/>
            <a:tabLst/>
            <a:defRPr/>
          </a:pPr>
          <a:r>
            <a:rPr lang="nl-NL" sz="1100" i="1" baseline="0">
              <a:solidFill>
                <a:schemeClr val="dk1"/>
              </a:solidFill>
              <a:effectLst/>
              <a:latin typeface="+mn-lt"/>
              <a:ea typeface="+mn-ea"/>
              <a:cs typeface="+mn-cs"/>
            </a:rPr>
            <a:t>Explanation of symbols:</a:t>
          </a:r>
          <a:endParaRPr lang="nl-NL">
            <a:effectLst/>
          </a:endParaRPr>
        </a:p>
        <a:p>
          <a:r>
            <a:rPr lang="en-GB" sz="1100">
              <a:solidFill>
                <a:schemeClr val="dk1"/>
              </a:solidFill>
              <a:effectLst/>
              <a:latin typeface="+mn-lt"/>
              <a:ea typeface="+mn-ea"/>
              <a:cs typeface="+mn-cs"/>
            </a:rPr>
            <a:t>'I'	Seasonal space heating energy efficiency of boiler (%)</a:t>
          </a:r>
          <a:endParaRPr lang="nl-NL">
            <a:effectLst/>
          </a:endParaRPr>
        </a:p>
        <a:p>
          <a:r>
            <a:rPr lang="en-GB" sz="1100">
              <a:solidFill>
                <a:schemeClr val="dk1"/>
              </a:solidFill>
              <a:effectLst/>
              <a:latin typeface="+mn-lt"/>
              <a:ea typeface="+mn-ea"/>
              <a:cs typeface="+mn-cs"/>
            </a:rPr>
            <a:t>'II'	Factor weighting heat output preferential / supplementary…</a:t>
          </a:r>
          <a:endParaRPr lang="nl-NL">
            <a:effectLst/>
          </a:endParaRPr>
        </a:p>
        <a:p>
          <a:r>
            <a:rPr lang="en-GB" sz="1100">
              <a:solidFill>
                <a:schemeClr val="dk1"/>
              </a:solidFill>
              <a:effectLst/>
              <a:latin typeface="+mn-lt"/>
              <a:ea typeface="+mn-ea"/>
              <a:cs typeface="+mn-cs"/>
            </a:rPr>
            <a:t>'III'	= 294/(11 x Prated)		</a:t>
          </a:r>
          <a:endParaRPr lang="nl-NL">
            <a:effectLst/>
          </a:endParaRPr>
        </a:p>
        <a:p>
          <a:r>
            <a:rPr lang="en-GB" sz="1100">
              <a:solidFill>
                <a:schemeClr val="dk1"/>
              </a:solidFill>
              <a:effectLst/>
              <a:latin typeface="+mn-lt"/>
              <a:ea typeface="+mn-ea"/>
              <a:cs typeface="+mn-cs"/>
            </a:rPr>
            <a:t>'IV'	= 115/(11 x Prated)		</a:t>
          </a:r>
          <a:endParaRPr lang="nl-NL">
            <a:effectLst/>
          </a:endParaRPr>
        </a:p>
        <a:p>
          <a:r>
            <a:rPr lang="en-GB" sz="1100">
              <a:solidFill>
                <a:schemeClr val="dk1"/>
              </a:solidFill>
              <a:effectLst/>
              <a:latin typeface="+mn-lt"/>
              <a:ea typeface="+mn-ea"/>
              <a:cs typeface="+mn-cs"/>
            </a:rPr>
            <a:t>Prated	Rated heat output		</a:t>
          </a:r>
          <a:endParaRPr lang="nl-NL">
            <a:effectLst/>
          </a:endParaRPr>
        </a:p>
        <a:p>
          <a:r>
            <a:rPr lang="en-GB" sz="1100">
              <a:solidFill>
                <a:schemeClr val="dk1"/>
              </a:solidFill>
              <a:effectLst/>
              <a:latin typeface="+mn-lt"/>
              <a:ea typeface="+mn-ea"/>
              <a:cs typeface="+mn-cs"/>
            </a:rPr>
            <a:t>Value	Raleted to class of temperature control	</a:t>
          </a:r>
          <a:endParaRPr lang="nl-NL">
            <a:effectLst/>
          </a:endParaRPr>
        </a:p>
        <a:p>
          <a:r>
            <a:rPr lang="en-GB" sz="1100">
              <a:solidFill>
                <a:schemeClr val="dk1"/>
              </a:solidFill>
              <a:effectLst/>
              <a:latin typeface="+mn-lt"/>
              <a:ea typeface="+mn-ea"/>
              <a:cs typeface="+mn-cs"/>
            </a:rPr>
            <a:t>ɳsys	Seasonal space heater energy efficiency of supplementary device</a:t>
          </a:r>
          <a:endParaRPr lang="nl-NL">
            <a:effectLst/>
          </a:endParaRPr>
        </a:p>
        <a:p>
          <a:r>
            <a:rPr lang="en-GB" sz="1100">
              <a:solidFill>
                <a:schemeClr val="dk1"/>
              </a:solidFill>
              <a:effectLst/>
              <a:latin typeface="+mn-lt"/>
              <a:ea typeface="+mn-ea"/>
              <a:cs typeface="+mn-cs"/>
            </a:rPr>
            <a:t>Acol	Collector aperture area [m2]		</a:t>
          </a:r>
          <a:endParaRPr lang="nl-NL">
            <a:effectLst/>
          </a:endParaRPr>
        </a:p>
        <a:p>
          <a:r>
            <a:rPr lang="en-GB" sz="1100">
              <a:solidFill>
                <a:schemeClr val="dk1"/>
              </a:solidFill>
              <a:effectLst/>
              <a:latin typeface="+mn-lt"/>
              <a:ea typeface="+mn-ea"/>
              <a:cs typeface="+mn-cs"/>
            </a:rPr>
            <a:t>Vsto	Volume of heat storage tank [m3]	</a:t>
          </a:r>
          <a:endParaRPr lang="nl-NL">
            <a:effectLst/>
          </a:endParaRPr>
        </a:p>
        <a:p>
          <a:r>
            <a:rPr lang="el-GR" sz="1100">
              <a:solidFill>
                <a:schemeClr val="dk1"/>
              </a:solidFill>
              <a:effectLst/>
              <a:latin typeface="+mn-lt"/>
              <a:ea typeface="+mn-ea"/>
              <a:cs typeface="+mn-cs"/>
            </a:rPr>
            <a:t>η</a:t>
          </a:r>
          <a:r>
            <a:rPr lang="en-GB" sz="1100">
              <a:solidFill>
                <a:schemeClr val="dk1"/>
              </a:solidFill>
              <a:effectLst/>
              <a:latin typeface="+mn-lt"/>
              <a:ea typeface="+mn-ea"/>
              <a:cs typeface="+mn-cs"/>
            </a:rPr>
            <a:t>col	Collector efficiency at 40K, 1000 W/m2) [%]	</a:t>
          </a:r>
          <a:endParaRPr lang="nl-NL">
            <a:effectLst/>
          </a:endParaRPr>
        </a:p>
        <a:p>
          <a:r>
            <a:rPr lang="en-GB" sz="1100">
              <a:solidFill>
                <a:schemeClr val="dk1"/>
              </a:solidFill>
              <a:effectLst/>
              <a:latin typeface="+mn-lt"/>
              <a:ea typeface="+mn-ea"/>
              <a:cs typeface="+mn-cs"/>
            </a:rPr>
            <a:t>Usto	Eco design energy label class of the heat storage  (-&gt; 'tank rating')</a:t>
          </a:r>
          <a:endParaRPr lang="nl-NL">
            <a:effectLst/>
          </a:endParaRPr>
        </a:p>
        <a:p>
          <a:endParaRPr lang="nl-NL"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9</xdr:col>
      <xdr:colOff>152399</xdr:colOff>
      <xdr:row>43</xdr:row>
      <xdr:rowOff>130968</xdr:rowOff>
    </xdr:from>
    <xdr:ext cx="7322344" cy="534762"/>
    <xdr:sp macro="" textlink="">
      <xdr:nvSpPr>
        <xdr:cNvPr id="2" name="Tekstvak 1"/>
        <xdr:cNvSpPr txBox="1"/>
      </xdr:nvSpPr>
      <xdr:spPr>
        <a:xfrm>
          <a:off x="5876924" y="7541418"/>
          <a:ext cx="7322344"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latin typeface="Arial" pitchFamily="34" charset="0"/>
              <a:cs typeface="Arial" pitchFamily="34" charset="0"/>
            </a:rPr>
            <a:t>The energy efficiency of the package of products provided for in this fiche may not correspond to its actual energy efficiency once installed  in a building, as this efficiency is influenced by further factors such as heat losses in the distribution system and the dimensioning of the  products in relation to the building size and characteristics.</a:t>
          </a:r>
        </a:p>
      </xdr:txBody>
    </xdr:sp>
    <xdr:clientData/>
  </xdr:oneCellAnchor>
  <xdr:twoCellAnchor>
    <xdr:from>
      <xdr:col>8</xdr:col>
      <xdr:colOff>190501</xdr:colOff>
      <xdr:row>8</xdr:row>
      <xdr:rowOff>154782</xdr:rowOff>
    </xdr:from>
    <xdr:to>
      <xdr:col>19</xdr:col>
      <xdr:colOff>238126</xdr:colOff>
      <xdr:row>10</xdr:row>
      <xdr:rowOff>130969</xdr:rowOff>
    </xdr:to>
    <xdr:sp macro="" textlink="">
      <xdr:nvSpPr>
        <xdr:cNvPr id="5" name="Afgeschuind enkele hoek rechthoek 4"/>
        <xdr:cNvSpPr/>
      </xdr:nvSpPr>
      <xdr:spPr>
        <a:xfrm>
          <a:off x="5715001" y="1450182"/>
          <a:ext cx="3657600" cy="300037"/>
        </a:xfrm>
        <a:prstGeom prst="snip1Rect">
          <a:avLst/>
        </a:prstGeom>
        <a:solidFill>
          <a:schemeClr val="accent1">
            <a:lumMod val="20000"/>
            <a:lumOff val="80000"/>
          </a:schemeClr>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b="1">
              <a:solidFill>
                <a:schemeClr val="accent1">
                  <a:lumMod val="75000"/>
                </a:schemeClr>
              </a:solidFill>
            </a:rPr>
            <a:t>Package fiche: heat pump  &amp; combi  (figure 3)</a:t>
          </a:r>
        </a:p>
      </xdr:txBody>
    </xdr:sp>
    <xdr:clientData/>
  </xdr:twoCellAnchor>
  <xdr:twoCellAnchor>
    <xdr:from>
      <xdr:col>30</xdr:col>
      <xdr:colOff>23812</xdr:colOff>
      <xdr:row>15</xdr:row>
      <xdr:rowOff>47624</xdr:rowOff>
    </xdr:from>
    <xdr:to>
      <xdr:col>33</xdr:col>
      <xdr:colOff>533400</xdr:colOff>
      <xdr:row>41</xdr:row>
      <xdr:rowOff>83343</xdr:rowOff>
    </xdr:to>
    <xdr:sp macro="" textlink="">
      <xdr:nvSpPr>
        <xdr:cNvPr id="6" name="Tekstvak 5"/>
        <xdr:cNvSpPr txBox="1"/>
      </xdr:nvSpPr>
      <xdr:spPr>
        <a:xfrm>
          <a:off x="13525500" y="2607468"/>
          <a:ext cx="4962525" cy="457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a:t>Specific instructions for this sheet:</a:t>
          </a:r>
        </a:p>
        <a:p>
          <a:r>
            <a:rPr lang="nl-NL" sz="1100">
              <a:solidFill>
                <a:schemeClr val="accent1">
                  <a:lumMod val="75000"/>
                </a:schemeClr>
              </a:solidFill>
            </a:rPr>
            <a:t>- Select the components for the package  in the columns B&amp;C.</a:t>
          </a:r>
          <a:endParaRPr lang="nl-NL" sz="1100" baseline="0">
            <a:solidFill>
              <a:schemeClr val="accent1">
                <a:lumMod val="75000"/>
              </a:schemeClr>
            </a:solidFill>
          </a:endParaRPr>
        </a:p>
        <a:p>
          <a:r>
            <a:rPr lang="nl-NL" sz="1100">
              <a:solidFill>
                <a:schemeClr val="accent1">
                  <a:lumMod val="75000"/>
                </a:schemeClr>
              </a:solidFill>
            </a:rPr>
            <a:t>The sheet calculates the energy efficiency class of the  package</a:t>
          </a:r>
          <a:r>
            <a:rPr lang="nl-NL" sz="1100" baseline="0">
              <a:solidFill>
                <a:schemeClr val="accent1">
                  <a:lumMod val="75000"/>
                </a:schemeClr>
              </a:solidFill>
            </a:rPr>
            <a:t> and the energy class.</a:t>
          </a:r>
        </a:p>
        <a:p>
          <a:endParaRPr lang="nl-NL" sz="1100" baseline="0"/>
        </a:p>
        <a:p>
          <a:r>
            <a:rPr lang="nl-NL" sz="1100" b="1" baseline="0"/>
            <a:t>Remark 1:</a:t>
          </a:r>
        </a:p>
        <a:p>
          <a:r>
            <a:rPr lang="nl-NL" sz="1100"/>
            <a:t>This</a:t>
          </a:r>
          <a:r>
            <a:rPr lang="nl-NL" sz="1100" baseline="0"/>
            <a:t> fiche is completed based on specifications from the product fiches of it's components. </a:t>
          </a:r>
        </a:p>
        <a:p>
          <a:endParaRPr lang="nl-NL" sz="1100" baseline="0"/>
        </a:p>
        <a:p>
          <a:r>
            <a:rPr lang="nl-NL" sz="1100" b="1" baseline="0"/>
            <a:t>Remark2:</a:t>
          </a:r>
        </a:p>
        <a:p>
          <a:r>
            <a:rPr lang="nl-NL" sz="1100"/>
            <a:t>Additional types of  each of the components  can</a:t>
          </a:r>
          <a:r>
            <a:rPr lang="nl-NL" sz="1100" baseline="0"/>
            <a:t> be added in the sheet: 'Database'  in the apporporiate table.</a:t>
          </a:r>
        </a:p>
        <a:p>
          <a:endParaRPr lang="nl-NL" sz="1100" baseline="0"/>
        </a:p>
        <a:p>
          <a:pPr marL="0" marR="0" indent="0" defTabSz="914400" eaLnBrk="1" fontAlgn="auto" latinLnBrk="0" hangingPunct="1">
            <a:lnSpc>
              <a:spcPct val="100000"/>
            </a:lnSpc>
            <a:spcBef>
              <a:spcPts val="0"/>
            </a:spcBef>
            <a:spcAft>
              <a:spcPts val="0"/>
            </a:spcAft>
            <a:buClrTx/>
            <a:buSzTx/>
            <a:buFontTx/>
            <a:buNone/>
            <a:tabLst/>
            <a:defRPr/>
          </a:pPr>
          <a:r>
            <a:rPr lang="nl-NL" sz="1100" i="1" baseline="0">
              <a:solidFill>
                <a:schemeClr val="dk1"/>
              </a:solidFill>
              <a:effectLst/>
              <a:latin typeface="+mn-lt"/>
              <a:ea typeface="+mn-ea"/>
              <a:cs typeface="+mn-cs"/>
            </a:rPr>
            <a:t>Explanation of symbols:</a:t>
          </a:r>
          <a:endParaRPr lang="nl-NL">
            <a:effectLst/>
          </a:endParaRPr>
        </a:p>
        <a:p>
          <a:r>
            <a:rPr lang="en-GB" sz="1100">
              <a:solidFill>
                <a:schemeClr val="dk1"/>
              </a:solidFill>
              <a:effectLst/>
              <a:latin typeface="+mn-lt"/>
              <a:ea typeface="+mn-ea"/>
              <a:cs typeface="+mn-cs"/>
            </a:rPr>
            <a:t>'I'	Seasonal space heating energy efficiency of boiler (%)</a:t>
          </a:r>
          <a:endParaRPr lang="nl-NL">
            <a:effectLst/>
          </a:endParaRPr>
        </a:p>
        <a:p>
          <a:r>
            <a:rPr lang="en-GB" sz="1100">
              <a:solidFill>
                <a:schemeClr val="dk1"/>
              </a:solidFill>
              <a:effectLst/>
              <a:latin typeface="+mn-lt"/>
              <a:ea typeface="+mn-ea"/>
              <a:cs typeface="+mn-cs"/>
            </a:rPr>
            <a:t>'II'	Factor weighting heat output preferential / supplementary…</a:t>
          </a:r>
          <a:endParaRPr lang="nl-NL">
            <a:effectLst/>
          </a:endParaRPr>
        </a:p>
        <a:p>
          <a:r>
            <a:rPr lang="en-GB" sz="1100">
              <a:solidFill>
                <a:schemeClr val="dk1"/>
              </a:solidFill>
              <a:effectLst/>
              <a:latin typeface="+mn-lt"/>
              <a:ea typeface="+mn-ea"/>
              <a:cs typeface="+mn-cs"/>
            </a:rPr>
            <a:t>'III'	= 294/(11 x Prated)		</a:t>
          </a:r>
          <a:endParaRPr lang="nl-NL">
            <a:effectLst/>
          </a:endParaRPr>
        </a:p>
        <a:p>
          <a:r>
            <a:rPr lang="en-GB" sz="1100">
              <a:solidFill>
                <a:schemeClr val="dk1"/>
              </a:solidFill>
              <a:effectLst/>
              <a:latin typeface="+mn-lt"/>
              <a:ea typeface="+mn-ea"/>
              <a:cs typeface="+mn-cs"/>
            </a:rPr>
            <a:t>'IV'	= 115/(11 x Prated)		</a:t>
          </a:r>
          <a:endParaRPr lang="nl-NL">
            <a:effectLst/>
          </a:endParaRPr>
        </a:p>
        <a:p>
          <a:r>
            <a:rPr lang="en-GB" sz="1100">
              <a:solidFill>
                <a:schemeClr val="dk1"/>
              </a:solidFill>
              <a:effectLst/>
              <a:latin typeface="+mn-lt"/>
              <a:ea typeface="+mn-ea"/>
              <a:cs typeface="+mn-cs"/>
            </a:rPr>
            <a:t>Prated	Rated heat output		</a:t>
          </a:r>
          <a:endParaRPr lang="nl-NL">
            <a:effectLst/>
          </a:endParaRPr>
        </a:p>
        <a:p>
          <a:r>
            <a:rPr lang="en-GB" sz="1100">
              <a:solidFill>
                <a:schemeClr val="dk1"/>
              </a:solidFill>
              <a:effectLst/>
              <a:latin typeface="+mn-lt"/>
              <a:ea typeface="+mn-ea"/>
              <a:cs typeface="+mn-cs"/>
            </a:rPr>
            <a:t>Value	Raleted to class of temperature control	</a:t>
          </a:r>
          <a:endParaRPr lang="nl-NL">
            <a:effectLst/>
          </a:endParaRPr>
        </a:p>
        <a:p>
          <a:r>
            <a:rPr lang="en-GB" sz="1100">
              <a:solidFill>
                <a:schemeClr val="dk1"/>
              </a:solidFill>
              <a:effectLst/>
              <a:latin typeface="+mn-lt"/>
              <a:ea typeface="+mn-ea"/>
              <a:cs typeface="+mn-cs"/>
            </a:rPr>
            <a:t>ɳsys	Seasonal space heater energy efficiency of supplementary device</a:t>
          </a:r>
          <a:endParaRPr lang="nl-NL">
            <a:effectLst/>
          </a:endParaRPr>
        </a:p>
        <a:p>
          <a:r>
            <a:rPr lang="en-GB" sz="1100">
              <a:solidFill>
                <a:schemeClr val="dk1"/>
              </a:solidFill>
              <a:effectLst/>
              <a:latin typeface="+mn-lt"/>
              <a:ea typeface="+mn-ea"/>
              <a:cs typeface="+mn-cs"/>
            </a:rPr>
            <a:t>Acol	Collector aperture area [m2]		</a:t>
          </a:r>
          <a:endParaRPr lang="nl-NL">
            <a:effectLst/>
          </a:endParaRPr>
        </a:p>
        <a:p>
          <a:r>
            <a:rPr lang="en-GB" sz="1100">
              <a:solidFill>
                <a:schemeClr val="dk1"/>
              </a:solidFill>
              <a:effectLst/>
              <a:latin typeface="+mn-lt"/>
              <a:ea typeface="+mn-ea"/>
              <a:cs typeface="+mn-cs"/>
            </a:rPr>
            <a:t>Vsto	Volume of heat storage tank [m3]	</a:t>
          </a:r>
          <a:endParaRPr lang="nl-NL">
            <a:effectLst/>
          </a:endParaRPr>
        </a:p>
        <a:p>
          <a:r>
            <a:rPr lang="el-GR" sz="1100">
              <a:solidFill>
                <a:schemeClr val="dk1"/>
              </a:solidFill>
              <a:effectLst/>
              <a:latin typeface="+mn-lt"/>
              <a:ea typeface="+mn-ea"/>
              <a:cs typeface="+mn-cs"/>
            </a:rPr>
            <a:t>η</a:t>
          </a:r>
          <a:r>
            <a:rPr lang="en-GB" sz="1100">
              <a:solidFill>
                <a:schemeClr val="dk1"/>
              </a:solidFill>
              <a:effectLst/>
              <a:latin typeface="+mn-lt"/>
              <a:ea typeface="+mn-ea"/>
              <a:cs typeface="+mn-cs"/>
            </a:rPr>
            <a:t>col	Collector efficiency at 40K, 1000 W/m2) [%]	</a:t>
          </a:r>
          <a:endParaRPr lang="nl-NL">
            <a:effectLst/>
          </a:endParaRPr>
        </a:p>
        <a:p>
          <a:r>
            <a:rPr lang="en-GB" sz="1100">
              <a:solidFill>
                <a:schemeClr val="dk1"/>
              </a:solidFill>
              <a:effectLst/>
              <a:latin typeface="+mn-lt"/>
              <a:ea typeface="+mn-ea"/>
              <a:cs typeface="+mn-cs"/>
            </a:rPr>
            <a:t>Usto	Eco design energy label class of the heat storage  (-&gt; 'tank rating')</a:t>
          </a:r>
          <a:endParaRPr lang="nl-NL">
            <a:effectLst/>
          </a:endParaRPr>
        </a:p>
        <a:p>
          <a:endParaRPr lang="nl-NL"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9</xdr:col>
      <xdr:colOff>152399</xdr:colOff>
      <xdr:row>43</xdr:row>
      <xdr:rowOff>130968</xdr:rowOff>
    </xdr:from>
    <xdr:ext cx="7322344" cy="534762"/>
    <xdr:sp macro="" textlink="">
      <xdr:nvSpPr>
        <xdr:cNvPr id="2" name="Tekstvak 1"/>
        <xdr:cNvSpPr txBox="1"/>
      </xdr:nvSpPr>
      <xdr:spPr>
        <a:xfrm>
          <a:off x="5848349" y="7541418"/>
          <a:ext cx="7322344"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latin typeface="Arial" pitchFamily="34" charset="0"/>
              <a:cs typeface="Arial" pitchFamily="34" charset="0"/>
            </a:rPr>
            <a:t>The energy efficiency of the package of products provided for in this fiche may not correspond to its actual energy efficiency once installed  in a building, as this efficiency is influenced by further factors such as heat losses in the distribution system and the dimensioning of the  products in relation to the building size and characteristics.</a:t>
          </a:r>
        </a:p>
      </xdr:txBody>
    </xdr:sp>
    <xdr:clientData/>
  </xdr:oneCellAnchor>
  <xdr:twoCellAnchor>
    <xdr:from>
      <xdr:col>9</xdr:col>
      <xdr:colOff>-1</xdr:colOff>
      <xdr:row>8</xdr:row>
      <xdr:rowOff>130969</xdr:rowOff>
    </xdr:from>
    <xdr:to>
      <xdr:col>19</xdr:col>
      <xdr:colOff>345281</xdr:colOff>
      <xdr:row>10</xdr:row>
      <xdr:rowOff>107156</xdr:rowOff>
    </xdr:to>
    <xdr:sp macro="" textlink="">
      <xdr:nvSpPr>
        <xdr:cNvPr id="5" name="Afgeschuind enkele hoek rechthoek 4"/>
        <xdr:cNvSpPr/>
      </xdr:nvSpPr>
      <xdr:spPr>
        <a:xfrm>
          <a:off x="5695949" y="1426369"/>
          <a:ext cx="3755232" cy="300037"/>
        </a:xfrm>
        <a:prstGeom prst="snip1Rect">
          <a:avLst/>
        </a:prstGeom>
        <a:solidFill>
          <a:schemeClr val="accent1">
            <a:lumMod val="20000"/>
            <a:lumOff val="80000"/>
          </a:schemeClr>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b="1">
              <a:solidFill>
                <a:schemeClr val="accent1">
                  <a:lumMod val="75000"/>
                </a:schemeClr>
              </a:solidFill>
            </a:rPr>
            <a:t>Package fiche: heat pump  low temp. appl.</a:t>
          </a:r>
          <a:r>
            <a:rPr lang="en-GB" sz="1200" b="1" baseline="0">
              <a:solidFill>
                <a:schemeClr val="accent1">
                  <a:lumMod val="75000"/>
                </a:schemeClr>
              </a:solidFill>
            </a:rPr>
            <a:t> </a:t>
          </a:r>
          <a:r>
            <a:rPr lang="en-GB" sz="1200" b="1">
              <a:solidFill>
                <a:schemeClr val="accent1">
                  <a:lumMod val="75000"/>
                </a:schemeClr>
              </a:solidFill>
            </a:rPr>
            <a:t>(figure 4)</a:t>
          </a:r>
        </a:p>
      </xdr:txBody>
    </xdr:sp>
    <xdr:clientData/>
  </xdr:twoCellAnchor>
  <xdr:twoCellAnchor>
    <xdr:from>
      <xdr:col>29</xdr:col>
      <xdr:colOff>202406</xdr:colOff>
      <xdr:row>14</xdr:row>
      <xdr:rowOff>154781</xdr:rowOff>
    </xdr:from>
    <xdr:to>
      <xdr:col>33</xdr:col>
      <xdr:colOff>473868</xdr:colOff>
      <xdr:row>41</xdr:row>
      <xdr:rowOff>83344</xdr:rowOff>
    </xdr:to>
    <xdr:sp macro="" textlink="">
      <xdr:nvSpPr>
        <xdr:cNvPr id="6" name="Tekstvak 5"/>
        <xdr:cNvSpPr txBox="1"/>
      </xdr:nvSpPr>
      <xdr:spPr>
        <a:xfrm>
          <a:off x="13442156" y="2547937"/>
          <a:ext cx="4962525" cy="4631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a:t>Specific instructions for this sheet:</a:t>
          </a:r>
        </a:p>
        <a:p>
          <a:r>
            <a:rPr lang="nl-NL" sz="1100">
              <a:solidFill>
                <a:schemeClr val="accent1">
                  <a:lumMod val="75000"/>
                </a:schemeClr>
              </a:solidFill>
            </a:rPr>
            <a:t>- Select the components for the package  in the columns B&amp;C.</a:t>
          </a:r>
          <a:endParaRPr lang="nl-NL" sz="1100" baseline="0">
            <a:solidFill>
              <a:schemeClr val="accent1">
                <a:lumMod val="75000"/>
              </a:schemeClr>
            </a:solidFill>
          </a:endParaRPr>
        </a:p>
        <a:p>
          <a:r>
            <a:rPr lang="nl-NL" sz="1100">
              <a:solidFill>
                <a:schemeClr val="accent1">
                  <a:lumMod val="75000"/>
                </a:schemeClr>
              </a:solidFill>
            </a:rPr>
            <a:t>The sheet calculates the energy efficiency class of the  package</a:t>
          </a:r>
          <a:r>
            <a:rPr lang="nl-NL" sz="1100" baseline="0">
              <a:solidFill>
                <a:schemeClr val="accent1">
                  <a:lumMod val="75000"/>
                </a:schemeClr>
              </a:solidFill>
            </a:rPr>
            <a:t> and the energy class.</a:t>
          </a:r>
        </a:p>
        <a:p>
          <a:endParaRPr lang="nl-NL" sz="1100" baseline="0"/>
        </a:p>
        <a:p>
          <a:r>
            <a:rPr lang="nl-NL" sz="1100" b="1" baseline="0"/>
            <a:t>Remark 1:</a:t>
          </a:r>
        </a:p>
        <a:p>
          <a:r>
            <a:rPr lang="nl-NL" sz="1100"/>
            <a:t>This</a:t>
          </a:r>
          <a:r>
            <a:rPr lang="nl-NL" sz="1100" baseline="0"/>
            <a:t> fiche is completed based on specifications from the product fiches of it's components. </a:t>
          </a:r>
        </a:p>
        <a:p>
          <a:endParaRPr lang="nl-NL" sz="1100" baseline="0"/>
        </a:p>
        <a:p>
          <a:r>
            <a:rPr lang="nl-NL" sz="1100" b="1" baseline="0"/>
            <a:t>Remark2:</a:t>
          </a:r>
        </a:p>
        <a:p>
          <a:r>
            <a:rPr lang="nl-NL" sz="1100"/>
            <a:t>Additional types of  each of the components  can</a:t>
          </a:r>
          <a:r>
            <a:rPr lang="nl-NL" sz="1100" baseline="0"/>
            <a:t> be added in the sheet: 'Database'  in the apporporiate table.</a:t>
          </a:r>
        </a:p>
        <a:p>
          <a:endParaRPr lang="nl-NL" sz="1100" baseline="0"/>
        </a:p>
        <a:p>
          <a:pPr marL="0" marR="0" indent="0" defTabSz="914400" eaLnBrk="1" fontAlgn="auto" latinLnBrk="0" hangingPunct="1">
            <a:lnSpc>
              <a:spcPct val="100000"/>
            </a:lnSpc>
            <a:spcBef>
              <a:spcPts val="0"/>
            </a:spcBef>
            <a:spcAft>
              <a:spcPts val="0"/>
            </a:spcAft>
            <a:buClrTx/>
            <a:buSzTx/>
            <a:buFontTx/>
            <a:buNone/>
            <a:tabLst/>
            <a:defRPr/>
          </a:pPr>
          <a:r>
            <a:rPr lang="nl-NL" sz="1100" i="1" baseline="0">
              <a:solidFill>
                <a:schemeClr val="dk1"/>
              </a:solidFill>
              <a:effectLst/>
              <a:latin typeface="+mn-lt"/>
              <a:ea typeface="+mn-ea"/>
              <a:cs typeface="+mn-cs"/>
            </a:rPr>
            <a:t>Explanation of symbols:</a:t>
          </a:r>
          <a:endParaRPr lang="nl-NL">
            <a:effectLst/>
          </a:endParaRPr>
        </a:p>
        <a:p>
          <a:r>
            <a:rPr lang="en-GB" sz="1100">
              <a:solidFill>
                <a:schemeClr val="dk1"/>
              </a:solidFill>
              <a:effectLst/>
              <a:latin typeface="+mn-lt"/>
              <a:ea typeface="+mn-ea"/>
              <a:cs typeface="+mn-cs"/>
            </a:rPr>
            <a:t>'I'	Seasonal space heating energy efficiency of boiler (%)</a:t>
          </a:r>
          <a:endParaRPr lang="nl-NL">
            <a:effectLst/>
          </a:endParaRPr>
        </a:p>
        <a:p>
          <a:r>
            <a:rPr lang="en-GB" sz="1100">
              <a:solidFill>
                <a:schemeClr val="dk1"/>
              </a:solidFill>
              <a:effectLst/>
              <a:latin typeface="+mn-lt"/>
              <a:ea typeface="+mn-ea"/>
              <a:cs typeface="+mn-cs"/>
            </a:rPr>
            <a:t>'II'	Factor weighting heat output preferential / supplementary…</a:t>
          </a:r>
          <a:endParaRPr lang="nl-NL">
            <a:effectLst/>
          </a:endParaRPr>
        </a:p>
        <a:p>
          <a:r>
            <a:rPr lang="en-GB" sz="1100">
              <a:solidFill>
                <a:schemeClr val="dk1"/>
              </a:solidFill>
              <a:effectLst/>
              <a:latin typeface="+mn-lt"/>
              <a:ea typeface="+mn-ea"/>
              <a:cs typeface="+mn-cs"/>
            </a:rPr>
            <a:t>'III'	= 294/(11 x Prated)		</a:t>
          </a:r>
          <a:endParaRPr lang="nl-NL">
            <a:effectLst/>
          </a:endParaRPr>
        </a:p>
        <a:p>
          <a:r>
            <a:rPr lang="en-GB" sz="1100">
              <a:solidFill>
                <a:schemeClr val="dk1"/>
              </a:solidFill>
              <a:effectLst/>
              <a:latin typeface="+mn-lt"/>
              <a:ea typeface="+mn-ea"/>
              <a:cs typeface="+mn-cs"/>
            </a:rPr>
            <a:t>'IV'	= 115/(11 x Prated)		</a:t>
          </a:r>
          <a:endParaRPr lang="nl-NL">
            <a:effectLst/>
          </a:endParaRPr>
        </a:p>
        <a:p>
          <a:r>
            <a:rPr lang="en-GB" sz="1100">
              <a:solidFill>
                <a:schemeClr val="dk1"/>
              </a:solidFill>
              <a:effectLst/>
              <a:latin typeface="+mn-lt"/>
              <a:ea typeface="+mn-ea"/>
              <a:cs typeface="+mn-cs"/>
            </a:rPr>
            <a:t>Prated	Rated heat output		</a:t>
          </a:r>
          <a:endParaRPr lang="nl-NL">
            <a:effectLst/>
          </a:endParaRPr>
        </a:p>
        <a:p>
          <a:r>
            <a:rPr lang="en-GB" sz="1100">
              <a:solidFill>
                <a:schemeClr val="dk1"/>
              </a:solidFill>
              <a:effectLst/>
              <a:latin typeface="+mn-lt"/>
              <a:ea typeface="+mn-ea"/>
              <a:cs typeface="+mn-cs"/>
            </a:rPr>
            <a:t>Value	Raleted to class of temperature control	</a:t>
          </a:r>
          <a:endParaRPr lang="nl-NL">
            <a:effectLst/>
          </a:endParaRPr>
        </a:p>
        <a:p>
          <a:r>
            <a:rPr lang="en-GB" sz="1100">
              <a:solidFill>
                <a:schemeClr val="dk1"/>
              </a:solidFill>
              <a:effectLst/>
              <a:latin typeface="+mn-lt"/>
              <a:ea typeface="+mn-ea"/>
              <a:cs typeface="+mn-cs"/>
            </a:rPr>
            <a:t>ɳsys	Seasonal space heater energy efficiency of supplementary device</a:t>
          </a:r>
          <a:endParaRPr lang="nl-NL">
            <a:effectLst/>
          </a:endParaRPr>
        </a:p>
        <a:p>
          <a:r>
            <a:rPr lang="en-GB" sz="1100">
              <a:solidFill>
                <a:schemeClr val="dk1"/>
              </a:solidFill>
              <a:effectLst/>
              <a:latin typeface="+mn-lt"/>
              <a:ea typeface="+mn-ea"/>
              <a:cs typeface="+mn-cs"/>
            </a:rPr>
            <a:t>Acol	Collector aperture area [m2]		</a:t>
          </a:r>
          <a:endParaRPr lang="nl-NL">
            <a:effectLst/>
          </a:endParaRPr>
        </a:p>
        <a:p>
          <a:r>
            <a:rPr lang="en-GB" sz="1100">
              <a:solidFill>
                <a:schemeClr val="dk1"/>
              </a:solidFill>
              <a:effectLst/>
              <a:latin typeface="+mn-lt"/>
              <a:ea typeface="+mn-ea"/>
              <a:cs typeface="+mn-cs"/>
            </a:rPr>
            <a:t>Vsto	Volume of heat storage tank [m3]	</a:t>
          </a:r>
          <a:endParaRPr lang="nl-NL">
            <a:effectLst/>
          </a:endParaRPr>
        </a:p>
        <a:p>
          <a:r>
            <a:rPr lang="el-GR" sz="1100">
              <a:solidFill>
                <a:schemeClr val="dk1"/>
              </a:solidFill>
              <a:effectLst/>
              <a:latin typeface="+mn-lt"/>
              <a:ea typeface="+mn-ea"/>
              <a:cs typeface="+mn-cs"/>
            </a:rPr>
            <a:t>η</a:t>
          </a:r>
          <a:r>
            <a:rPr lang="en-GB" sz="1100">
              <a:solidFill>
                <a:schemeClr val="dk1"/>
              </a:solidFill>
              <a:effectLst/>
              <a:latin typeface="+mn-lt"/>
              <a:ea typeface="+mn-ea"/>
              <a:cs typeface="+mn-cs"/>
            </a:rPr>
            <a:t>col	Collector efficiency at 40K, 1000 W/m2) [%]	</a:t>
          </a:r>
          <a:endParaRPr lang="nl-NL">
            <a:effectLst/>
          </a:endParaRPr>
        </a:p>
        <a:p>
          <a:r>
            <a:rPr lang="en-GB" sz="1100">
              <a:solidFill>
                <a:schemeClr val="dk1"/>
              </a:solidFill>
              <a:effectLst/>
              <a:latin typeface="+mn-lt"/>
              <a:ea typeface="+mn-ea"/>
              <a:cs typeface="+mn-cs"/>
            </a:rPr>
            <a:t>Usto	Eco design energy label class of the heat storage  (-&gt; 'tank rating')</a:t>
          </a:r>
          <a:endParaRPr lang="nl-NL">
            <a:effectLst/>
          </a:endParaRPr>
        </a:p>
        <a:p>
          <a:endParaRPr lang="nl-NL"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8</xdr:row>
      <xdr:rowOff>148166</xdr:rowOff>
    </xdr:from>
    <xdr:to>
      <xdr:col>21</xdr:col>
      <xdr:colOff>267229</xdr:colOff>
      <xdr:row>10</xdr:row>
      <xdr:rowOff>140228</xdr:rowOff>
    </xdr:to>
    <xdr:sp macro="" textlink="">
      <xdr:nvSpPr>
        <xdr:cNvPr id="3" name="Afgeschuind enkele hoek rechthoek 2"/>
        <xdr:cNvSpPr/>
      </xdr:nvSpPr>
      <xdr:spPr>
        <a:xfrm>
          <a:off x="4695825" y="1472141"/>
          <a:ext cx="3734329" cy="315912"/>
        </a:xfrm>
        <a:prstGeom prst="snip1Rect">
          <a:avLst/>
        </a:prstGeom>
        <a:solidFill>
          <a:schemeClr val="accent1">
            <a:lumMod val="20000"/>
            <a:lumOff val="80000"/>
          </a:schemeClr>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b="1">
              <a:solidFill>
                <a:schemeClr val="accent1">
                  <a:lumMod val="75000"/>
                </a:schemeClr>
              </a:solidFill>
            </a:rPr>
            <a:t>Package fiche water heater and solar device (figure 1)</a:t>
          </a:r>
        </a:p>
      </xdr:txBody>
    </xdr:sp>
    <xdr:clientData/>
  </xdr:twoCellAnchor>
  <xdr:twoCellAnchor>
    <xdr:from>
      <xdr:col>31</xdr:col>
      <xdr:colOff>254001</xdr:colOff>
      <xdr:row>16</xdr:row>
      <xdr:rowOff>21166</xdr:rowOff>
    </xdr:from>
    <xdr:to>
      <xdr:col>37</xdr:col>
      <xdr:colOff>379942</xdr:colOff>
      <xdr:row>51</xdr:row>
      <xdr:rowOff>148166</xdr:rowOff>
    </xdr:to>
    <xdr:sp macro="" textlink="">
      <xdr:nvSpPr>
        <xdr:cNvPr id="5" name="Tekstvak 4"/>
        <xdr:cNvSpPr txBox="1"/>
      </xdr:nvSpPr>
      <xdr:spPr>
        <a:xfrm>
          <a:off x="11250084" y="2603499"/>
          <a:ext cx="4962525" cy="6265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a:t>Specific instructions for this sheet:</a:t>
          </a:r>
        </a:p>
        <a:p>
          <a:r>
            <a:rPr lang="nl-NL" sz="1100">
              <a:solidFill>
                <a:schemeClr val="accent1">
                  <a:lumMod val="75000"/>
                </a:schemeClr>
              </a:solidFill>
            </a:rPr>
            <a:t>- Select a auxiliary</a:t>
          </a:r>
          <a:r>
            <a:rPr lang="nl-NL" sz="1100" baseline="0">
              <a:solidFill>
                <a:schemeClr val="accent1">
                  <a:lumMod val="75000"/>
                </a:schemeClr>
              </a:solidFill>
            </a:rPr>
            <a:t> (backup) heater from the list in columns B&amp;C.</a:t>
          </a:r>
          <a:endParaRPr lang="nl-NL" sz="1100">
            <a:solidFill>
              <a:schemeClr val="accent1">
                <a:lumMod val="75000"/>
              </a:schemeClr>
            </a:solidFill>
          </a:endParaRPr>
        </a:p>
        <a:p>
          <a:r>
            <a:rPr lang="nl-NL" sz="1100">
              <a:solidFill>
                <a:schemeClr val="accent1">
                  <a:lumMod val="75000"/>
                </a:schemeClr>
              </a:solidFill>
            </a:rPr>
            <a:t>- Select a solar water heater by selecting a solar fraction</a:t>
          </a:r>
          <a:r>
            <a:rPr lang="nl-NL" sz="1100" baseline="0">
              <a:solidFill>
                <a:schemeClr val="accent1">
                  <a:lumMod val="75000"/>
                </a:schemeClr>
              </a:solidFill>
            </a:rPr>
            <a:t> (</a:t>
          </a:r>
          <a:r>
            <a:rPr lang="nl-NL" sz="1100" i="1" baseline="0">
              <a:solidFill>
                <a:schemeClr val="accent1">
                  <a:lumMod val="75000"/>
                </a:schemeClr>
              </a:solidFill>
            </a:rPr>
            <a:t>fsolar</a:t>
          </a:r>
          <a:r>
            <a:rPr lang="nl-NL" sz="1100" baseline="0">
              <a:solidFill>
                <a:schemeClr val="accent1">
                  <a:lumMod val="75000"/>
                </a:schemeClr>
              </a:solidFill>
            </a:rPr>
            <a:t>) of that solar water  </a:t>
          </a:r>
        </a:p>
        <a:p>
          <a:r>
            <a:rPr lang="nl-NL" sz="1100" baseline="0">
              <a:solidFill>
                <a:schemeClr val="accent1">
                  <a:lumMod val="75000"/>
                </a:schemeClr>
              </a:solidFill>
            </a:rPr>
            <a:t>  heater in column C.</a:t>
          </a:r>
        </a:p>
        <a:p>
          <a:r>
            <a:rPr lang="nl-NL" sz="1100" baseline="0">
              <a:solidFill>
                <a:schemeClr val="accent1">
                  <a:lumMod val="75000"/>
                </a:schemeClr>
              </a:solidFill>
            </a:rPr>
            <a:t>- Enter the pump power consumption.</a:t>
          </a:r>
        </a:p>
        <a:p>
          <a:r>
            <a:rPr lang="nl-NL" sz="1100" baseline="0">
              <a:solidFill>
                <a:schemeClr val="accent1">
                  <a:lumMod val="75000"/>
                </a:schemeClr>
              </a:solidFill>
            </a:rPr>
            <a:t>- Enter the standby power consumption.</a:t>
          </a:r>
        </a:p>
        <a:p>
          <a:r>
            <a:rPr lang="nl-NL" sz="1100">
              <a:solidFill>
                <a:schemeClr val="accent1">
                  <a:lumMod val="75000"/>
                </a:schemeClr>
              </a:solidFill>
            </a:rPr>
            <a:t>The sheet calculates the package water heater energy efficiency and the energy efficiency class of the package. </a:t>
          </a:r>
          <a:endParaRPr lang="nl-NL" sz="1100" baseline="0">
            <a:solidFill>
              <a:schemeClr val="accent1">
                <a:lumMod val="75000"/>
              </a:schemeClr>
            </a:solidFill>
          </a:endParaRPr>
        </a:p>
        <a:p>
          <a:endParaRPr lang="nl-NL" sz="1100" baseline="0"/>
        </a:p>
        <a:p>
          <a:r>
            <a:rPr lang="nl-NL" sz="1100" b="1" baseline="0"/>
            <a:t>Remark 1:</a:t>
          </a:r>
        </a:p>
        <a:p>
          <a:r>
            <a:rPr lang="nl-NL" sz="1100" i="0">
              <a:solidFill>
                <a:schemeClr val="dk1"/>
              </a:solidFill>
              <a:effectLst/>
              <a:latin typeface="+mn-lt"/>
              <a:ea typeface="+mn-ea"/>
              <a:cs typeface="+mn-cs"/>
            </a:rPr>
            <a:t>This</a:t>
          </a:r>
          <a:r>
            <a:rPr lang="nl-NL" sz="1100" i="0" baseline="0">
              <a:solidFill>
                <a:schemeClr val="dk1"/>
              </a:solidFill>
              <a:effectLst/>
              <a:latin typeface="+mn-lt"/>
              <a:ea typeface="+mn-ea"/>
              <a:cs typeface="+mn-cs"/>
            </a:rPr>
            <a:t> data fiche should be completed based on input from the technical documentation of the solar device.</a:t>
          </a:r>
          <a:endParaRPr lang="nl-NL" i="0">
            <a:effectLst/>
          </a:endParaRPr>
        </a:p>
        <a:p>
          <a:r>
            <a:rPr lang="nl-NL" sz="1100" i="0" baseline="0">
              <a:solidFill>
                <a:schemeClr val="dk1"/>
              </a:solidFill>
              <a:effectLst/>
              <a:latin typeface="+mn-lt"/>
              <a:ea typeface="+mn-ea"/>
              <a:cs typeface="+mn-cs"/>
            </a:rPr>
            <a:t>The technical documentation contains, amongst other things, the results of the SOLCAL or SOLICS method, the results of the test to determine the water heater efficiency and fuel consumption and the electrical power of the pump and pump control.</a:t>
          </a:r>
          <a:endParaRPr lang="nl-NL" i="0">
            <a:effectLst/>
          </a:endParaRPr>
        </a:p>
        <a:p>
          <a:pPr marL="0" marR="0" indent="0" defTabSz="914400" eaLnBrk="1" fontAlgn="auto" latinLnBrk="0" hangingPunct="1">
            <a:lnSpc>
              <a:spcPct val="100000"/>
            </a:lnSpc>
            <a:spcBef>
              <a:spcPts val="0"/>
            </a:spcBef>
            <a:spcAft>
              <a:spcPts val="0"/>
            </a:spcAft>
            <a:buClrTx/>
            <a:buSzTx/>
            <a:buFontTx/>
            <a:buNone/>
            <a:tabLst/>
            <a:defRPr/>
          </a:pPr>
          <a:r>
            <a:rPr lang="nl-NL" sz="1100" i="0" baseline="0">
              <a:solidFill>
                <a:schemeClr val="dk1"/>
              </a:solidFill>
              <a:effectLst/>
              <a:latin typeface="+mn-lt"/>
              <a:ea typeface="+mn-ea"/>
              <a:cs typeface="+mn-cs"/>
            </a:rPr>
            <a:t>For demonstration purposes this input is 'simulated', in a simple manner, through the selection of a solar fraction and the auxiliarywater heater efficiency.</a:t>
          </a:r>
          <a:endParaRPr lang="nl-NL" i="0">
            <a:effectLst/>
          </a:endParaRPr>
        </a:p>
        <a:p>
          <a:endParaRPr lang="nl-NL" sz="1100"/>
        </a:p>
        <a:p>
          <a:r>
            <a:rPr lang="nl-NL" sz="1100" b="1"/>
            <a:t>Remark 2:</a:t>
          </a:r>
        </a:p>
        <a:p>
          <a:r>
            <a:rPr lang="nl-NL" sz="1100"/>
            <a:t>The label class on</a:t>
          </a:r>
          <a:r>
            <a:rPr lang="nl-NL" sz="1100" baseline="0"/>
            <a:t> the label is based on the average climate and declared load profile. </a:t>
          </a:r>
        </a:p>
        <a:p>
          <a:endParaRPr lang="nl-NL" sz="1100" baseline="0"/>
        </a:p>
        <a:p>
          <a:r>
            <a:rPr lang="nl-NL" sz="1100" b="1" baseline="0">
              <a:solidFill>
                <a:schemeClr val="dk1"/>
              </a:solidFill>
              <a:effectLst/>
              <a:latin typeface="+mn-lt"/>
              <a:ea typeface="+mn-ea"/>
              <a:cs typeface="+mn-cs"/>
            </a:rPr>
            <a:t>Remark3:</a:t>
          </a:r>
          <a:endParaRPr lang="nl-NL">
            <a:effectLst/>
          </a:endParaRPr>
        </a:p>
        <a:p>
          <a:r>
            <a:rPr lang="nl-NL" sz="1100">
              <a:solidFill>
                <a:schemeClr val="dk1"/>
              </a:solidFill>
              <a:effectLst/>
              <a:latin typeface="+mn-lt"/>
              <a:ea typeface="+mn-ea"/>
              <a:cs typeface="+mn-cs"/>
            </a:rPr>
            <a:t>Additional types of auxiliary heaters can be added to the database in the sheet: 'Database' in the table for 'Water heaters</a:t>
          </a:r>
          <a:r>
            <a:rPr lang="nl-NL" sz="1100" baseline="0">
              <a:solidFill>
                <a:schemeClr val="dk1"/>
              </a:solidFill>
              <a:effectLst/>
              <a:latin typeface="+mn-lt"/>
              <a:ea typeface="+mn-ea"/>
              <a:cs typeface="+mn-cs"/>
            </a:rPr>
            <a:t>'.</a:t>
          </a:r>
          <a:endParaRPr lang="nl-NL">
            <a:effectLst/>
          </a:endParaRPr>
        </a:p>
        <a:p>
          <a:endParaRPr lang="nl-NL" sz="1100" baseline="0"/>
        </a:p>
        <a:p>
          <a:endParaRPr lang="nl-NL" sz="1100" baseline="0"/>
        </a:p>
        <a:p>
          <a:r>
            <a:rPr lang="nl-NL" sz="1100" i="1" baseline="0"/>
            <a:t>Explanation of symbols:</a:t>
          </a:r>
        </a:p>
        <a:p>
          <a:r>
            <a:rPr lang="en-GB" sz="1100">
              <a:solidFill>
                <a:schemeClr val="dk1"/>
              </a:solidFill>
              <a:effectLst/>
              <a:latin typeface="+mn-lt"/>
              <a:ea typeface="+mn-ea"/>
              <a:cs typeface="+mn-cs"/>
            </a:rPr>
            <a:t>'I':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water heating energy efficiency of the water heater</a:t>
          </a:r>
          <a:endParaRPr lang="nl-NL">
            <a:effectLst/>
          </a:endParaRPr>
        </a:p>
        <a:p>
          <a:r>
            <a:rPr lang="en-GB" sz="1100">
              <a:solidFill>
                <a:schemeClr val="dk1"/>
              </a:solidFill>
              <a:effectLst/>
              <a:latin typeface="+mn-lt"/>
              <a:ea typeface="+mn-ea"/>
              <a:cs typeface="+mn-cs"/>
            </a:rPr>
            <a:t>'II':   (220 · Qref)/Qnonsol, </a:t>
          </a:r>
          <a:endParaRPr lang="nl-NL">
            <a:effectLst/>
          </a:endParaRPr>
        </a:p>
        <a:p>
          <a:r>
            <a:rPr lang="en-GB" sz="1100">
              <a:solidFill>
                <a:schemeClr val="dk1"/>
              </a:solidFill>
              <a:effectLst/>
              <a:latin typeface="+mn-lt"/>
              <a:ea typeface="+mn-ea"/>
              <a:cs typeface="+mn-cs"/>
            </a:rPr>
            <a:t>'III':  (Qaux · 2,5)/(220 · Qref)</a:t>
          </a:r>
          <a:endParaRPr lang="nl-NL">
            <a:effectLst/>
          </a:endParaRPr>
        </a:p>
        <a:p>
          <a:r>
            <a:rPr lang="en-GB" sz="1100">
              <a:solidFill>
                <a:schemeClr val="dk1"/>
              </a:solidFill>
              <a:effectLst/>
              <a:latin typeface="+mn-lt"/>
              <a:ea typeface="+mn-ea"/>
              <a:cs typeface="+mn-cs"/>
            </a:rPr>
            <a:t>Load profile:  One of daily load profiles: M, L, XL or XXL</a:t>
          </a:r>
          <a:endParaRPr lang="nl-NL">
            <a:effectLst/>
          </a:endParaRPr>
        </a:p>
        <a:p>
          <a:r>
            <a:rPr lang="en-GB" sz="1100">
              <a:solidFill>
                <a:schemeClr val="dk1"/>
              </a:solidFill>
              <a:effectLst/>
              <a:latin typeface="+mn-lt"/>
              <a:ea typeface="+mn-ea"/>
              <a:cs typeface="+mn-cs"/>
            </a:rPr>
            <a:t>Qref:</a:t>
          </a:r>
          <a:r>
            <a:rPr lang="en-GB" sz="1100" baseline="0">
              <a:solidFill>
                <a:schemeClr val="dk1"/>
              </a:solidFill>
              <a:effectLst/>
              <a:latin typeface="+mn-lt"/>
              <a:ea typeface="+mn-ea"/>
              <a:cs typeface="+mn-cs"/>
            </a:rPr>
            <a:t>  Daily hot water demand</a:t>
          </a:r>
          <a:endParaRPr lang="nl-NL">
            <a:effectLst/>
          </a:endParaRPr>
        </a:p>
        <a:p>
          <a:r>
            <a:rPr lang="en-GB" sz="1100" baseline="0">
              <a:solidFill>
                <a:schemeClr val="dk1"/>
              </a:solidFill>
              <a:effectLst/>
              <a:latin typeface="+mn-lt"/>
              <a:ea typeface="+mn-ea"/>
              <a:cs typeface="+mn-cs"/>
            </a:rPr>
            <a:t>Qnonsol: Annual non-solar heat contribution</a:t>
          </a:r>
          <a:endParaRPr lang="nl-NL">
            <a:effectLst/>
          </a:endParaRPr>
        </a:p>
        <a:p>
          <a:r>
            <a:rPr lang="en-GB" sz="1100" baseline="0">
              <a:solidFill>
                <a:schemeClr val="dk1"/>
              </a:solidFill>
              <a:effectLst/>
              <a:latin typeface="+mn-lt"/>
              <a:ea typeface="+mn-ea"/>
              <a:cs typeface="+mn-cs"/>
            </a:rPr>
            <a:t>Qaux:      Annual auxiliary electricity consumption</a:t>
          </a:r>
          <a:endParaRPr lang="nl-NL">
            <a:effectLst/>
          </a:endParaRPr>
        </a:p>
        <a:p>
          <a:endParaRPr lang="nl-NL" sz="1100" baseline="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180975</xdr:colOff>
      <xdr:row>15</xdr:row>
      <xdr:rowOff>142874</xdr:rowOff>
    </xdr:from>
    <xdr:to>
      <xdr:col>24</xdr:col>
      <xdr:colOff>285750</xdr:colOff>
      <xdr:row>42</xdr:row>
      <xdr:rowOff>47625</xdr:rowOff>
    </xdr:to>
    <xdr:sp macro="" textlink="">
      <xdr:nvSpPr>
        <xdr:cNvPr id="3" name="Tekstvak 2"/>
        <xdr:cNvSpPr txBox="1"/>
      </xdr:nvSpPr>
      <xdr:spPr>
        <a:xfrm>
          <a:off x="11858625" y="2771774"/>
          <a:ext cx="4962525" cy="4962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a:t>Specific instructions for this sheet:</a:t>
          </a:r>
        </a:p>
        <a:p>
          <a:r>
            <a:rPr lang="nl-NL" sz="1100">
              <a:solidFill>
                <a:schemeClr val="accent1">
                  <a:lumMod val="75000"/>
                </a:schemeClr>
              </a:solidFill>
            </a:rPr>
            <a:t>- Select a solar water heater by selecting a solar fraction</a:t>
          </a:r>
          <a:r>
            <a:rPr lang="nl-NL" sz="1100" baseline="0">
              <a:solidFill>
                <a:schemeClr val="accent1">
                  <a:lumMod val="75000"/>
                </a:schemeClr>
              </a:solidFill>
            </a:rPr>
            <a:t> (</a:t>
          </a:r>
          <a:r>
            <a:rPr lang="nl-NL" sz="1100" i="1" baseline="0">
              <a:solidFill>
                <a:schemeClr val="accent1">
                  <a:lumMod val="75000"/>
                </a:schemeClr>
              </a:solidFill>
            </a:rPr>
            <a:t>fsolar</a:t>
          </a:r>
          <a:r>
            <a:rPr lang="nl-NL" sz="1100" baseline="0">
              <a:solidFill>
                <a:schemeClr val="accent1">
                  <a:lumMod val="75000"/>
                </a:schemeClr>
              </a:solidFill>
            </a:rPr>
            <a:t>) of that solar water  </a:t>
          </a:r>
        </a:p>
        <a:p>
          <a:r>
            <a:rPr lang="nl-NL" sz="1100" baseline="0">
              <a:solidFill>
                <a:schemeClr val="accent1">
                  <a:lumMod val="75000"/>
                </a:schemeClr>
              </a:solidFill>
            </a:rPr>
            <a:t>  heater in column C.</a:t>
          </a:r>
        </a:p>
        <a:p>
          <a:r>
            <a:rPr lang="nl-NL" sz="1100" baseline="0">
              <a:solidFill>
                <a:schemeClr val="accent1">
                  <a:lumMod val="75000"/>
                </a:schemeClr>
              </a:solidFill>
            </a:rPr>
            <a:t>- Select a water heater efficiency (</a:t>
          </a:r>
          <a:r>
            <a:rPr lang="nl-NL" sz="1100" i="1" baseline="0">
              <a:solidFill>
                <a:schemeClr val="accent1">
                  <a:lumMod val="75000"/>
                </a:schemeClr>
              </a:solidFill>
            </a:rPr>
            <a:t>ɳwh,nonsol</a:t>
          </a:r>
          <a:r>
            <a:rPr lang="nl-NL" sz="1100" baseline="0">
              <a:solidFill>
                <a:schemeClr val="accent1">
                  <a:lumMod val="75000"/>
                </a:schemeClr>
              </a:solidFill>
            </a:rPr>
            <a:t>) of the backup heater  in column C.</a:t>
          </a:r>
        </a:p>
        <a:p>
          <a:r>
            <a:rPr lang="nl-NL" sz="1100" baseline="0">
              <a:solidFill>
                <a:schemeClr val="accent1">
                  <a:lumMod val="75000"/>
                </a:schemeClr>
              </a:solidFill>
            </a:rPr>
            <a:t>  Be aware! An electrical backup heater is alwais lower than 40%.</a:t>
          </a:r>
        </a:p>
        <a:p>
          <a:r>
            <a:rPr lang="nl-NL" sz="1100" baseline="0">
              <a:solidFill>
                <a:schemeClr val="accent1">
                  <a:lumMod val="75000"/>
                </a:schemeClr>
              </a:solidFill>
            </a:rPr>
            <a:t>- Enter the pump power consumption.</a:t>
          </a:r>
        </a:p>
        <a:p>
          <a:r>
            <a:rPr lang="nl-NL" sz="1100" baseline="0">
              <a:solidFill>
                <a:schemeClr val="accent1">
                  <a:lumMod val="75000"/>
                </a:schemeClr>
              </a:solidFill>
            </a:rPr>
            <a:t>- Enter the standby power consumption.</a:t>
          </a:r>
        </a:p>
        <a:p>
          <a:r>
            <a:rPr lang="nl-NL" sz="1100" baseline="0">
              <a:solidFill>
                <a:schemeClr val="accent1">
                  <a:lumMod val="75000"/>
                </a:schemeClr>
              </a:solidFill>
            </a:rPr>
            <a:t>- The remaining green fields do not need to be completed.</a:t>
          </a:r>
        </a:p>
        <a:p>
          <a:r>
            <a:rPr lang="nl-NL" sz="1100">
              <a:solidFill>
                <a:schemeClr val="accent1">
                  <a:lumMod val="75000"/>
                </a:schemeClr>
              </a:solidFill>
            </a:rPr>
            <a:t>The sheet calculates the water heater energy efficiency and the energy efficiency class of the solar</a:t>
          </a:r>
          <a:r>
            <a:rPr lang="nl-NL" sz="1100" baseline="0">
              <a:solidFill>
                <a:schemeClr val="accent1">
                  <a:lumMod val="75000"/>
                </a:schemeClr>
              </a:solidFill>
            </a:rPr>
            <a:t> water heater as displayed in the yellow c ells of column K.</a:t>
          </a:r>
        </a:p>
        <a:p>
          <a:endParaRPr lang="nl-NL" sz="1100" baseline="0"/>
        </a:p>
        <a:p>
          <a:r>
            <a:rPr lang="nl-NL" sz="1100" b="1" baseline="0"/>
            <a:t>Remark 1:</a:t>
          </a:r>
        </a:p>
        <a:p>
          <a:r>
            <a:rPr lang="nl-NL" sz="1100" i="0">
              <a:solidFill>
                <a:schemeClr val="dk1"/>
              </a:solidFill>
              <a:effectLst/>
              <a:latin typeface="+mn-lt"/>
              <a:ea typeface="+mn-ea"/>
              <a:cs typeface="+mn-cs"/>
            </a:rPr>
            <a:t>This</a:t>
          </a:r>
          <a:r>
            <a:rPr lang="nl-NL" sz="1100" i="0" baseline="0">
              <a:solidFill>
                <a:schemeClr val="dk1"/>
              </a:solidFill>
              <a:effectLst/>
              <a:latin typeface="+mn-lt"/>
              <a:ea typeface="+mn-ea"/>
              <a:cs typeface="+mn-cs"/>
            </a:rPr>
            <a:t> data fiche should be completed based on input from the technical documentation of the solar water heater.</a:t>
          </a:r>
          <a:endParaRPr lang="nl-NL" i="0">
            <a:effectLst/>
          </a:endParaRPr>
        </a:p>
        <a:p>
          <a:r>
            <a:rPr lang="nl-NL" sz="1100" i="0" baseline="0">
              <a:solidFill>
                <a:schemeClr val="dk1"/>
              </a:solidFill>
              <a:effectLst/>
              <a:latin typeface="+mn-lt"/>
              <a:ea typeface="+mn-ea"/>
              <a:cs typeface="+mn-cs"/>
            </a:rPr>
            <a:t>The technical documentation contains, amongst other things, the results of the SOLCAL or SOLICS method, the results of the test to determine the water heater efficiency and fuel consumption and the electrical power of the pump and pump control.</a:t>
          </a:r>
          <a:endParaRPr lang="nl-NL" i="0">
            <a:effectLst/>
          </a:endParaRPr>
        </a:p>
        <a:p>
          <a:pPr marL="0" marR="0" indent="0" defTabSz="914400" eaLnBrk="1" fontAlgn="auto" latinLnBrk="0" hangingPunct="1">
            <a:lnSpc>
              <a:spcPct val="100000"/>
            </a:lnSpc>
            <a:spcBef>
              <a:spcPts val="0"/>
            </a:spcBef>
            <a:spcAft>
              <a:spcPts val="0"/>
            </a:spcAft>
            <a:buClrTx/>
            <a:buSzTx/>
            <a:buFontTx/>
            <a:buNone/>
            <a:tabLst/>
            <a:defRPr/>
          </a:pPr>
          <a:r>
            <a:rPr lang="nl-NL" sz="1100" i="0" baseline="0">
              <a:solidFill>
                <a:schemeClr val="dk1"/>
              </a:solidFill>
              <a:effectLst/>
              <a:latin typeface="+mn-lt"/>
              <a:ea typeface="+mn-ea"/>
              <a:cs typeface="+mn-cs"/>
            </a:rPr>
            <a:t>For demonstration purposes this input is 'simulated', in a simple manner, through the selection of a solar fraction and the auxiliarywater heater efficiency.</a:t>
          </a:r>
          <a:endParaRPr lang="nl-NL" i="0">
            <a:effectLst/>
          </a:endParaRPr>
        </a:p>
        <a:p>
          <a:endParaRPr lang="nl-NL" sz="1100"/>
        </a:p>
        <a:p>
          <a:r>
            <a:rPr lang="nl-NL" sz="1100" b="1"/>
            <a:t>Remark 2:</a:t>
          </a:r>
        </a:p>
        <a:p>
          <a:r>
            <a:rPr lang="nl-NL" sz="1100"/>
            <a:t>The label class on</a:t>
          </a:r>
          <a:r>
            <a:rPr lang="nl-NL" sz="1100" baseline="0"/>
            <a:t> the label is based on the average climate and declared load profile. </a:t>
          </a:r>
        </a:p>
        <a:p>
          <a:endParaRPr lang="nl-NL" sz="1100" baseline="0"/>
        </a:p>
        <a:p>
          <a:r>
            <a:rPr lang="nl-NL" sz="1100" b="1" baseline="0"/>
            <a:t>Remark 3:</a:t>
          </a:r>
        </a:p>
        <a:p>
          <a:r>
            <a:rPr lang="nl-NL" sz="1100"/>
            <a:t>ESTIF has commented</a:t>
          </a:r>
          <a:r>
            <a:rPr lang="nl-NL" sz="1100" baseline="0"/>
            <a:t> on the method used with proposals for improvements. However, these has not been implemented in the latest documents.</a:t>
          </a:r>
          <a:endParaRPr lang="nl-NL"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xdr:col>
      <xdr:colOff>654844</xdr:colOff>
      <xdr:row>12</xdr:row>
      <xdr:rowOff>35718</xdr:rowOff>
    </xdr:from>
    <xdr:ext cx="184731" cy="264560"/>
    <xdr:sp macro="" textlink="">
      <xdr:nvSpPr>
        <xdr:cNvPr id="2" name="Tekstvak 1"/>
        <xdr:cNvSpPr txBox="1"/>
      </xdr:nvSpPr>
      <xdr:spPr>
        <a:xfrm>
          <a:off x="3731419" y="2007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12</xdr:col>
      <xdr:colOff>0</xdr:colOff>
      <xdr:row>24</xdr:row>
      <xdr:rowOff>0</xdr:rowOff>
    </xdr:from>
    <xdr:to>
      <xdr:col>17</xdr:col>
      <xdr:colOff>485775</xdr:colOff>
      <xdr:row>36</xdr:row>
      <xdr:rowOff>161925</xdr:rowOff>
    </xdr:to>
    <xdr:sp macro="" textlink="">
      <xdr:nvSpPr>
        <xdr:cNvPr id="3" name="Tekstvak 2"/>
        <xdr:cNvSpPr txBox="1"/>
      </xdr:nvSpPr>
      <xdr:spPr>
        <a:xfrm>
          <a:off x="10182225" y="4000500"/>
          <a:ext cx="4962525" cy="2447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a:t>Specific instructions for this sheet:</a:t>
          </a:r>
        </a:p>
        <a:p>
          <a:r>
            <a:rPr lang="nl-NL" sz="1100">
              <a:solidFill>
                <a:schemeClr val="accent1">
                  <a:lumMod val="75000"/>
                </a:schemeClr>
              </a:solidFill>
            </a:rPr>
            <a:t>- Select a heat storage tank from a list of types </a:t>
          </a:r>
          <a:r>
            <a:rPr lang="nl-NL" sz="1100" baseline="0">
              <a:solidFill>
                <a:schemeClr val="accent1">
                  <a:lumMod val="75000"/>
                </a:schemeClr>
              </a:solidFill>
            </a:rPr>
            <a:t>in column B.</a:t>
          </a:r>
        </a:p>
        <a:p>
          <a:r>
            <a:rPr lang="nl-NL" sz="1100" baseline="0">
              <a:solidFill>
                <a:schemeClr val="accent1">
                  <a:lumMod val="75000"/>
                </a:schemeClr>
              </a:solidFill>
            </a:rPr>
            <a:t>- The remaining green fields do not need to be completed.</a:t>
          </a:r>
        </a:p>
        <a:p>
          <a:r>
            <a:rPr lang="nl-NL" sz="1100">
              <a:solidFill>
                <a:schemeClr val="accent1">
                  <a:lumMod val="75000"/>
                </a:schemeClr>
              </a:solidFill>
            </a:rPr>
            <a:t>The sheet calculates the energy efficiency class of the solar</a:t>
          </a:r>
          <a:r>
            <a:rPr lang="nl-NL" sz="1100" baseline="0">
              <a:solidFill>
                <a:schemeClr val="accent1">
                  <a:lumMod val="75000"/>
                </a:schemeClr>
              </a:solidFill>
            </a:rPr>
            <a:t> water heater as displayed in the yellow c ell of column F.</a:t>
          </a:r>
        </a:p>
        <a:p>
          <a:endParaRPr lang="nl-NL" sz="1100" baseline="0"/>
        </a:p>
        <a:p>
          <a:r>
            <a:rPr lang="nl-NL" sz="1100" b="1" baseline="0"/>
            <a:t>Remark 1:</a:t>
          </a:r>
        </a:p>
        <a:p>
          <a:r>
            <a:rPr lang="nl-NL" sz="1100"/>
            <a:t>This</a:t>
          </a:r>
          <a:r>
            <a:rPr lang="nl-NL" sz="1100" baseline="0"/>
            <a:t> fiche is completed based on specifications from a technical document. The technical document contains the test results of a tank. </a:t>
          </a:r>
        </a:p>
        <a:p>
          <a:endParaRPr lang="nl-NL" sz="1100" baseline="0"/>
        </a:p>
        <a:p>
          <a:r>
            <a:rPr lang="nl-NL" sz="1100" b="1" baseline="0"/>
            <a:t>Remark2:</a:t>
          </a:r>
        </a:p>
        <a:p>
          <a:r>
            <a:rPr lang="nl-NL" sz="1100"/>
            <a:t>Additional types of heat storage tanks can be added to the database in the sheet: 'Database' in the table for 'Hot</a:t>
          </a:r>
          <a:r>
            <a:rPr lang="nl-NL" sz="1100" baseline="0"/>
            <a:t> water storage tanks'.</a:t>
          </a:r>
          <a:endParaRPr lang="nl-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1:T41"/>
  <sheetViews>
    <sheetView showGridLines="0" tabSelected="1" zoomScale="80" zoomScaleNormal="80" workbookViewId="0"/>
  </sheetViews>
  <sheetFormatPr defaultRowHeight="15"/>
  <cols>
    <col min="1" max="1" width="2.7109375" customWidth="1"/>
    <col min="2" max="2" width="5.28515625" customWidth="1"/>
    <col min="3" max="3" width="6.28515625" style="1" customWidth="1"/>
    <col min="4" max="4" width="18.5703125" customWidth="1"/>
    <col min="5" max="7" width="7.5703125" customWidth="1"/>
    <col min="8" max="8" width="24.85546875" bestFit="1" customWidth="1"/>
    <col min="9" max="9" width="2.42578125" customWidth="1"/>
    <col min="10" max="10" width="19.5703125" bestFit="1" customWidth="1"/>
    <col min="11" max="19" width="7.5703125" customWidth="1"/>
  </cols>
  <sheetData>
    <row r="1" spans="2:20">
      <c r="B1" s="3" t="s">
        <v>13</v>
      </c>
      <c r="C1" s="2"/>
      <c r="D1" s="3" t="s">
        <v>460</v>
      </c>
      <c r="F1" s="2"/>
      <c r="G1" s="3"/>
      <c r="H1" s="3"/>
      <c r="I1" s="371">
        <v>41341</v>
      </c>
      <c r="J1" s="372"/>
      <c r="K1" s="2"/>
      <c r="L1" s="2"/>
      <c r="M1" s="2"/>
      <c r="N1" s="2"/>
      <c r="O1" s="4"/>
      <c r="P1" s="2"/>
      <c r="Q1" s="4"/>
      <c r="R1" s="2"/>
      <c r="S1" s="4"/>
    </row>
    <row r="2" spans="2:20">
      <c r="B2" s="3" t="s">
        <v>461</v>
      </c>
      <c r="C2" s="2"/>
      <c r="D2" s="3" t="s">
        <v>462</v>
      </c>
      <c r="F2" s="2"/>
      <c r="G2" s="3"/>
      <c r="H2" s="3"/>
      <c r="I2" s="3"/>
      <c r="J2" s="362" t="s">
        <v>24</v>
      </c>
      <c r="K2" s="2"/>
      <c r="L2" s="2"/>
      <c r="M2" s="2"/>
      <c r="N2" s="2"/>
      <c r="O2" s="4"/>
      <c r="P2" s="2"/>
      <c r="Q2" s="4"/>
      <c r="R2" s="2"/>
      <c r="S2" s="4"/>
      <c r="T2" s="5"/>
    </row>
    <row r="3" spans="2:20">
      <c r="B3" s="3" t="s">
        <v>464</v>
      </c>
      <c r="C3" s="2"/>
      <c r="D3" s="3" t="s">
        <v>463</v>
      </c>
      <c r="F3" s="2"/>
      <c r="G3" s="3"/>
      <c r="H3" s="3"/>
      <c r="I3" s="3"/>
      <c r="J3" s="362" t="s">
        <v>17</v>
      </c>
      <c r="K3" s="2"/>
      <c r="L3" s="2"/>
      <c r="M3" s="2"/>
      <c r="N3" s="2"/>
      <c r="P3" s="2"/>
      <c r="Q3" s="4"/>
      <c r="R3" s="2"/>
      <c r="S3" s="4"/>
      <c r="T3" s="5"/>
    </row>
    <row r="4" spans="2:20">
      <c r="B4" s="9"/>
      <c r="C4" s="10"/>
      <c r="D4" s="9"/>
      <c r="E4" s="361"/>
      <c r="F4" s="10"/>
      <c r="G4" s="10"/>
      <c r="H4" s="10"/>
      <c r="I4" s="10"/>
      <c r="J4" s="363" t="s">
        <v>465</v>
      </c>
    </row>
    <row r="24" spans="2:10">
      <c r="B24" s="355" t="s">
        <v>458</v>
      </c>
      <c r="C24"/>
    </row>
    <row r="25" spans="2:10">
      <c r="B25" s="354" t="s">
        <v>446</v>
      </c>
      <c r="C25"/>
      <c r="H25" t="s">
        <v>459</v>
      </c>
      <c r="J25" t="s">
        <v>459</v>
      </c>
    </row>
    <row r="26" spans="2:10">
      <c r="C26" t="s">
        <v>8</v>
      </c>
    </row>
    <row r="27" spans="2:10">
      <c r="C27" s="353" t="s">
        <v>456</v>
      </c>
      <c r="D27" s="356" t="s">
        <v>447</v>
      </c>
      <c r="E27" s="356"/>
      <c r="F27" s="356"/>
      <c r="G27" s="357"/>
      <c r="H27" s="358" t="s">
        <v>0</v>
      </c>
    </row>
    <row r="28" spans="2:10">
      <c r="C28" s="353" t="s">
        <v>456</v>
      </c>
      <c r="D28" s="356" t="s">
        <v>448</v>
      </c>
      <c r="E28" s="356"/>
      <c r="F28" s="356"/>
      <c r="G28" s="357"/>
      <c r="H28" s="358" t="s">
        <v>1</v>
      </c>
    </row>
    <row r="29" spans="2:10">
      <c r="C29" s="353" t="s">
        <v>456</v>
      </c>
      <c r="D29" s="356" t="s">
        <v>449</v>
      </c>
      <c r="E29" s="356"/>
      <c r="F29" s="356"/>
      <c r="G29" s="357"/>
      <c r="H29" s="358" t="s">
        <v>2</v>
      </c>
    </row>
    <row r="30" spans="2:10">
      <c r="C30" s="353" t="s">
        <v>456</v>
      </c>
      <c r="D30" s="356" t="s">
        <v>450</v>
      </c>
      <c r="E30" s="356"/>
      <c r="F30" s="356"/>
      <c r="G30" s="357"/>
      <c r="H30" s="358" t="s">
        <v>10</v>
      </c>
    </row>
    <row r="31" spans="2:10">
      <c r="B31" s="354" t="s">
        <v>120</v>
      </c>
      <c r="C31"/>
    </row>
    <row r="32" spans="2:10">
      <c r="C32" t="s">
        <v>9</v>
      </c>
      <c r="H32" s="1"/>
    </row>
    <row r="33" spans="2:10">
      <c r="C33" s="353" t="s">
        <v>456</v>
      </c>
      <c r="D33" s="356" t="s">
        <v>4</v>
      </c>
      <c r="E33" s="356"/>
      <c r="F33" s="356"/>
      <c r="G33" s="357"/>
      <c r="H33" s="358" t="s">
        <v>11</v>
      </c>
    </row>
    <row r="34" spans="2:10">
      <c r="C34" t="s">
        <v>8</v>
      </c>
      <c r="H34" s="1"/>
      <c r="J34" s="1"/>
    </row>
    <row r="35" spans="2:10">
      <c r="C35" s="353" t="s">
        <v>456</v>
      </c>
      <c r="D35" s="356" t="s">
        <v>16</v>
      </c>
      <c r="E35" s="356"/>
      <c r="F35" s="356"/>
      <c r="G35" s="357"/>
      <c r="H35" s="359" t="s">
        <v>313</v>
      </c>
      <c r="J35" s="1"/>
    </row>
    <row r="36" spans="2:10">
      <c r="B36" s="354" t="s">
        <v>451</v>
      </c>
      <c r="C36"/>
      <c r="H36" s="1"/>
      <c r="J36" s="1"/>
    </row>
    <row r="37" spans="2:10">
      <c r="C37" s="353" t="s">
        <v>456</v>
      </c>
      <c r="D37" s="356" t="s">
        <v>452</v>
      </c>
      <c r="E37" s="356"/>
      <c r="F37" s="356"/>
      <c r="G37" s="357"/>
      <c r="H37" s="360" t="s">
        <v>0</v>
      </c>
      <c r="I37" s="357" t="s">
        <v>454</v>
      </c>
      <c r="J37" s="359" t="s">
        <v>313</v>
      </c>
    </row>
    <row r="38" spans="2:10">
      <c r="C38" s="353" t="s">
        <v>456</v>
      </c>
      <c r="D38" s="356" t="s">
        <v>453</v>
      </c>
      <c r="E38" s="356"/>
      <c r="F38" s="356"/>
      <c r="G38" s="357"/>
      <c r="H38" s="360" t="s">
        <v>2</v>
      </c>
      <c r="I38" s="357" t="s">
        <v>454</v>
      </c>
      <c r="J38" s="359" t="s">
        <v>313</v>
      </c>
    </row>
    <row r="39" spans="2:10">
      <c r="B39" s="354" t="s">
        <v>455</v>
      </c>
      <c r="C39"/>
      <c r="H39" s="1"/>
      <c r="J39" s="1"/>
    </row>
    <row r="40" spans="2:10">
      <c r="C40" s="353" t="s">
        <v>456</v>
      </c>
      <c r="D40" s="356" t="s">
        <v>457</v>
      </c>
      <c r="E40" s="356"/>
      <c r="F40" s="356"/>
      <c r="G40" s="357"/>
      <c r="H40" s="358" t="s">
        <v>12</v>
      </c>
    </row>
    <row r="41" spans="2:10">
      <c r="C41"/>
    </row>
  </sheetData>
  <mergeCells count="1">
    <mergeCell ref="I1:J1"/>
  </mergeCells>
  <hyperlinks>
    <hyperlink ref="H27" location="'PaF-SH-boiler'!A1" display="[PaF-SH-boiler]"/>
    <hyperlink ref="H28" location="'PaF-SH-cogeneration'!A1" display="[PaF-SH-cogenerator]"/>
    <hyperlink ref="H29" location="'PaF-SH-heat pump'!A1" display="[PaF-SH-heat pump]"/>
    <hyperlink ref="H30" location="'PaF-SH-LT heat pump'!A1" display="[PaF-SH-LT heat pump]"/>
    <hyperlink ref="H33" location="'PrF-WH-solar water heater'!A1" display="[PrF-Solar water heater]"/>
    <hyperlink ref="H40" location="'PrF-hot water storage'!A1" display="[PrF-hot water storage]"/>
    <hyperlink ref="H35" location="'PaF-water heater'!A1" display="[PaF-water heater]"/>
    <hyperlink ref="H37" location="'PaF-SH-boiler'!A1" display="[PaF-SH-boiler]"/>
    <hyperlink ref="H38" location="'PaF-SH-heat pump'!A1" display="[PaF-SH-heat pump]"/>
    <hyperlink ref="J37" location="'PaF-water heater'!A1" display="[PaF-water heater]"/>
    <hyperlink ref="J38" location="'PaF-water heater'!A1" display="[PaF-water heate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3:V143"/>
  <sheetViews>
    <sheetView showGridLines="0" zoomScale="80" zoomScaleNormal="80" workbookViewId="0"/>
  </sheetViews>
  <sheetFormatPr defaultRowHeight="15"/>
  <cols>
    <col min="2" max="2" width="42.42578125" bestFit="1" customWidth="1"/>
    <col min="14" max="14" width="11.7109375" customWidth="1"/>
    <col min="15" max="15" width="10" customWidth="1"/>
    <col min="17" max="20" width="6.7109375" customWidth="1"/>
  </cols>
  <sheetData>
    <row r="3" spans="2:22">
      <c r="N3" s="327" t="s">
        <v>426</v>
      </c>
    </row>
    <row r="4" spans="2:22">
      <c r="B4" s="93" t="s">
        <v>118</v>
      </c>
      <c r="C4" s="172" t="s">
        <v>216</v>
      </c>
      <c r="D4" s="173" t="s">
        <v>38</v>
      </c>
      <c r="E4" s="2"/>
      <c r="F4" s="2"/>
      <c r="N4" t="s">
        <v>195</v>
      </c>
    </row>
    <row r="5" spans="2:22">
      <c r="B5" s="176" t="s">
        <v>217</v>
      </c>
      <c r="C5" s="177" t="s">
        <v>218</v>
      </c>
      <c r="D5" s="177" t="s">
        <v>121</v>
      </c>
      <c r="E5" s="2"/>
      <c r="F5" s="2"/>
      <c r="N5" t="s">
        <v>259</v>
      </c>
      <c r="U5" s="274"/>
      <c r="V5" s="274"/>
    </row>
    <row r="6" spans="2:22">
      <c r="B6" s="30" t="s">
        <v>169</v>
      </c>
      <c r="C6" s="178">
        <v>0</v>
      </c>
      <c r="D6" s="178">
        <v>0</v>
      </c>
      <c r="E6" s="2"/>
      <c r="F6" s="2"/>
    </row>
    <row r="7" spans="2:22">
      <c r="B7" s="30" t="s">
        <v>219</v>
      </c>
      <c r="C7" s="178">
        <v>5</v>
      </c>
      <c r="D7" s="178">
        <v>97</v>
      </c>
      <c r="E7" s="2"/>
      <c r="F7" s="2"/>
    </row>
    <row r="8" spans="2:22">
      <c r="B8" s="30" t="s">
        <v>220</v>
      </c>
      <c r="C8" s="178">
        <v>10</v>
      </c>
      <c r="D8" s="178">
        <v>97</v>
      </c>
      <c r="E8" s="2"/>
      <c r="F8" s="2"/>
    </row>
    <row r="9" spans="2:22">
      <c r="B9" s="30" t="s">
        <v>158</v>
      </c>
      <c r="C9" s="178">
        <v>20</v>
      </c>
      <c r="D9" s="178">
        <v>97</v>
      </c>
      <c r="E9" s="2"/>
      <c r="F9" s="2"/>
      <c r="R9" s="322" t="s">
        <v>423</v>
      </c>
      <c r="S9" s="323" t="s">
        <v>69</v>
      </c>
    </row>
    <row r="10" spans="2:22">
      <c r="B10" s="30" t="s">
        <v>221</v>
      </c>
      <c r="C10" s="178">
        <v>30</v>
      </c>
      <c r="D10" s="178">
        <v>97</v>
      </c>
      <c r="E10" s="2"/>
      <c r="F10" s="2"/>
      <c r="R10" s="322" t="s">
        <v>422</v>
      </c>
      <c r="S10" s="326">
        <v>1</v>
      </c>
    </row>
    <row r="11" spans="2:22">
      <c r="B11" s="30" t="s">
        <v>222</v>
      </c>
      <c r="C11" s="178">
        <v>5</v>
      </c>
      <c r="D11" s="178">
        <v>90</v>
      </c>
      <c r="E11" s="2"/>
      <c r="F11" s="2"/>
      <c r="O11" s="325"/>
      <c r="P11" s="325"/>
      <c r="Q11" s="325"/>
      <c r="R11" s="324" t="s">
        <v>5</v>
      </c>
      <c r="S11" s="323" t="str">
        <f ca="1">LOOKUP(S10,INDIRECT("Col_WHE_Pr_"&amp;S9),Col_WHE_Pr_Lab)</f>
        <v>A</v>
      </c>
    </row>
    <row r="12" spans="2:22">
      <c r="B12" s="30" t="s">
        <v>223</v>
      </c>
      <c r="C12" s="178">
        <v>10</v>
      </c>
      <c r="D12" s="178">
        <v>90</v>
      </c>
      <c r="E12" s="2"/>
      <c r="F12" s="2"/>
      <c r="R12" s="324" t="s">
        <v>6</v>
      </c>
      <c r="S12" s="323" t="str">
        <f ca="1">LOOKUP(S10,INDIRECT("Col_WHE_Pa_"&amp;S9),Col_WHE_Pa_Lab)</f>
        <v>A+</v>
      </c>
    </row>
    <row r="13" spans="2:22">
      <c r="B13" s="30" t="s">
        <v>224</v>
      </c>
      <c r="C13" s="178">
        <v>20</v>
      </c>
      <c r="D13" s="178">
        <v>90</v>
      </c>
      <c r="E13" s="2"/>
      <c r="F13" s="2"/>
      <c r="N13" s="325" t="s">
        <v>425</v>
      </c>
    </row>
    <row r="14" spans="2:22">
      <c r="B14" s="30" t="s">
        <v>226</v>
      </c>
      <c r="C14" s="187">
        <v>30</v>
      </c>
      <c r="D14" s="187">
        <v>90</v>
      </c>
      <c r="E14" s="2"/>
      <c r="F14" s="2"/>
      <c r="N14" s="328" t="s">
        <v>424</v>
      </c>
    </row>
    <row r="15" spans="2:22">
      <c r="B15" s="95" t="s">
        <v>138</v>
      </c>
      <c r="C15" s="95"/>
      <c r="D15" s="95"/>
      <c r="E15" s="2"/>
      <c r="F15" s="2" t="s">
        <v>471</v>
      </c>
      <c r="N15" s="310" t="s">
        <v>396</v>
      </c>
      <c r="O15" s="311" t="s">
        <v>329</v>
      </c>
      <c r="P15" s="311" t="s">
        <v>69</v>
      </c>
      <c r="Q15" s="311" t="s">
        <v>80</v>
      </c>
      <c r="R15" s="311" t="s">
        <v>89</v>
      </c>
      <c r="S15" s="311" t="s">
        <v>97</v>
      </c>
    </row>
    <row r="16" spans="2:22">
      <c r="B16" s="95" t="s">
        <v>139</v>
      </c>
      <c r="C16" s="95"/>
      <c r="D16" s="95"/>
      <c r="E16" s="2"/>
      <c r="F16" s="102" t="s">
        <v>473</v>
      </c>
      <c r="N16" s="322" t="s">
        <v>397</v>
      </c>
      <c r="O16" s="312">
        <v>2.1</v>
      </c>
      <c r="P16" s="86">
        <v>5.8449999999999998</v>
      </c>
      <c r="Q16" s="86">
        <v>11.654999999999999</v>
      </c>
      <c r="R16" s="86">
        <v>19.07</v>
      </c>
      <c r="S16" s="86">
        <v>24.53</v>
      </c>
    </row>
    <row r="17" spans="2:19">
      <c r="B17" s="95" t="s">
        <v>140</v>
      </c>
      <c r="C17" s="95"/>
      <c r="D17" s="95"/>
      <c r="E17" s="2"/>
      <c r="F17" s="2"/>
      <c r="N17" s="310" t="s">
        <v>59</v>
      </c>
      <c r="O17" s="313">
        <v>0</v>
      </c>
      <c r="P17" s="314">
        <v>0</v>
      </c>
      <c r="Q17" s="314">
        <v>0</v>
      </c>
      <c r="R17" s="314">
        <v>0</v>
      </c>
      <c r="S17" s="315">
        <v>0</v>
      </c>
    </row>
    <row r="18" spans="2:19">
      <c r="B18" s="95" t="s">
        <v>141</v>
      </c>
      <c r="C18" s="95"/>
      <c r="D18" s="95"/>
      <c r="E18" s="2"/>
      <c r="F18" s="2"/>
      <c r="N18" s="310" t="s">
        <v>60</v>
      </c>
      <c r="O18" s="316">
        <v>0.23</v>
      </c>
      <c r="P18" s="317">
        <v>0.27</v>
      </c>
      <c r="Q18" s="317">
        <v>0.27</v>
      </c>
      <c r="R18" s="317">
        <v>0.27</v>
      </c>
      <c r="S18" s="318">
        <v>0.28000000000000003</v>
      </c>
    </row>
    <row r="19" spans="2:19">
      <c r="B19" s="95" t="s">
        <v>273</v>
      </c>
      <c r="C19" s="95"/>
      <c r="D19" s="95"/>
      <c r="E19" s="2"/>
      <c r="F19" s="2"/>
      <c r="N19" s="310" t="s">
        <v>61</v>
      </c>
      <c r="O19" s="316">
        <v>0.26</v>
      </c>
      <c r="P19" s="317">
        <v>0.3</v>
      </c>
      <c r="Q19" s="317">
        <v>0.3</v>
      </c>
      <c r="R19" s="317">
        <v>0.3</v>
      </c>
      <c r="S19" s="318">
        <v>0.32</v>
      </c>
    </row>
    <row r="20" spans="2:19">
      <c r="B20" s="95" t="s">
        <v>274</v>
      </c>
      <c r="C20" s="95"/>
      <c r="D20" s="95"/>
      <c r="E20" s="2"/>
      <c r="F20" s="2"/>
      <c r="N20" s="310" t="s">
        <v>62</v>
      </c>
      <c r="O20" s="316">
        <v>0.28999999999999998</v>
      </c>
      <c r="P20" s="317">
        <v>0.33</v>
      </c>
      <c r="Q20" s="317">
        <v>0.34</v>
      </c>
      <c r="R20" s="317">
        <v>0.35</v>
      </c>
      <c r="S20" s="318">
        <v>0.36</v>
      </c>
    </row>
    <row r="21" spans="2:19">
      <c r="B21" s="2"/>
      <c r="C21" s="2"/>
      <c r="D21" s="2"/>
      <c r="E21" s="2"/>
      <c r="F21" s="2"/>
      <c r="N21" s="310" t="s">
        <v>63</v>
      </c>
      <c r="O21" s="316">
        <v>0.32</v>
      </c>
      <c r="P21" s="317">
        <v>0.36</v>
      </c>
      <c r="Q21" s="317">
        <v>0.37</v>
      </c>
      <c r="R21" s="317">
        <v>0.38</v>
      </c>
      <c r="S21" s="318">
        <v>0.4</v>
      </c>
    </row>
    <row r="22" spans="2:19">
      <c r="B22" s="2"/>
      <c r="C22" s="2"/>
      <c r="D22" s="2"/>
      <c r="E22" s="2"/>
      <c r="F22" s="2"/>
      <c r="N22" s="310" t="s">
        <v>64</v>
      </c>
      <c r="O22" s="316">
        <v>0.35</v>
      </c>
      <c r="P22" s="317">
        <v>0.45</v>
      </c>
      <c r="Q22" s="317">
        <v>0.5</v>
      </c>
      <c r="R22" s="317">
        <v>0.55000000000000004</v>
      </c>
      <c r="S22" s="318">
        <v>0.6</v>
      </c>
    </row>
    <row r="23" spans="2:19">
      <c r="B23" s="189" t="s">
        <v>118</v>
      </c>
      <c r="C23" s="190"/>
      <c r="D23" s="191"/>
      <c r="E23" s="2"/>
      <c r="F23" s="2"/>
      <c r="N23" s="310" t="s">
        <v>65</v>
      </c>
      <c r="O23" s="316">
        <v>0.38</v>
      </c>
      <c r="P23" s="317">
        <v>0.65</v>
      </c>
      <c r="Q23" s="317">
        <v>0.75</v>
      </c>
      <c r="R23" s="317">
        <v>0.8</v>
      </c>
      <c r="S23" s="318">
        <v>0.85</v>
      </c>
    </row>
    <row r="24" spans="2:19">
      <c r="B24" s="176" t="s">
        <v>162</v>
      </c>
      <c r="C24" s="192" t="s">
        <v>58</v>
      </c>
      <c r="D24" s="193" t="s">
        <v>230</v>
      </c>
      <c r="E24" s="2"/>
      <c r="F24" s="2"/>
      <c r="N24" s="310" t="s">
        <v>66</v>
      </c>
      <c r="O24" s="316">
        <v>0.55000000000000004</v>
      </c>
      <c r="P24" s="317">
        <v>1</v>
      </c>
      <c r="Q24" s="317">
        <v>1.1499999999999999</v>
      </c>
      <c r="R24" s="317">
        <v>1.23</v>
      </c>
      <c r="S24" s="318">
        <v>1.31</v>
      </c>
    </row>
    <row r="25" spans="2:19">
      <c r="B25" s="55" t="s">
        <v>169</v>
      </c>
      <c r="C25" s="194" t="s">
        <v>169</v>
      </c>
      <c r="D25" s="178">
        <v>0</v>
      </c>
      <c r="E25" s="2"/>
      <c r="F25" s="2"/>
      <c r="N25" s="310" t="s">
        <v>67</v>
      </c>
      <c r="O25" s="316">
        <v>0.72</v>
      </c>
      <c r="P25" s="317">
        <v>1.3</v>
      </c>
      <c r="Q25" s="317">
        <v>1.5</v>
      </c>
      <c r="R25" s="317">
        <v>1.6</v>
      </c>
      <c r="S25" s="318">
        <v>1.7</v>
      </c>
    </row>
    <row r="26" spans="2:19">
      <c r="B26" s="55" t="s">
        <v>233</v>
      </c>
      <c r="C26" s="195" t="s">
        <v>229</v>
      </c>
      <c r="D26" s="178">
        <v>1</v>
      </c>
      <c r="E26" s="2"/>
      <c r="F26" s="2"/>
      <c r="N26" s="310" t="s">
        <v>68</v>
      </c>
      <c r="O26" s="319">
        <v>0.9</v>
      </c>
      <c r="P26" s="320">
        <v>1.63</v>
      </c>
      <c r="Q26" s="320">
        <v>1.88</v>
      </c>
      <c r="R26" s="320">
        <v>2</v>
      </c>
      <c r="S26" s="321">
        <v>2.13</v>
      </c>
    </row>
    <row r="27" spans="2:19">
      <c r="B27" s="55" t="s">
        <v>235</v>
      </c>
      <c r="C27" s="195" t="s">
        <v>231</v>
      </c>
      <c r="D27" s="178">
        <v>2</v>
      </c>
      <c r="E27" s="2"/>
      <c r="F27" s="2"/>
    </row>
    <row r="28" spans="2:19">
      <c r="B28" s="55" t="s">
        <v>237</v>
      </c>
      <c r="C28" s="195" t="s">
        <v>232</v>
      </c>
      <c r="D28" s="178">
        <v>1.5</v>
      </c>
      <c r="E28" s="2"/>
      <c r="F28" s="2"/>
    </row>
    <row r="29" spans="2:19">
      <c r="B29" s="55" t="s">
        <v>161</v>
      </c>
      <c r="C29" s="195" t="s">
        <v>234</v>
      </c>
      <c r="D29" s="178">
        <v>2</v>
      </c>
      <c r="E29" s="2"/>
      <c r="F29" s="2"/>
    </row>
    <row r="30" spans="2:19">
      <c r="B30" s="55" t="s">
        <v>240</v>
      </c>
      <c r="C30" s="195" t="s">
        <v>236</v>
      </c>
      <c r="D30" s="178">
        <v>3</v>
      </c>
      <c r="E30" s="2"/>
      <c r="F30" s="2"/>
    </row>
    <row r="31" spans="2:19">
      <c r="B31" s="55" t="s">
        <v>242</v>
      </c>
      <c r="C31" s="195" t="s">
        <v>238</v>
      </c>
      <c r="D31" s="178">
        <v>4</v>
      </c>
      <c r="E31" s="2"/>
      <c r="F31" s="2"/>
    </row>
    <row r="32" spans="2:19">
      <c r="B32" s="55" t="s">
        <v>243</v>
      </c>
      <c r="C32" s="195" t="s">
        <v>239</v>
      </c>
      <c r="D32" s="178">
        <v>3.5</v>
      </c>
      <c r="E32" s="2"/>
      <c r="F32" s="2"/>
    </row>
    <row r="33" spans="2:6">
      <c r="B33" s="55" t="s">
        <v>244</v>
      </c>
      <c r="C33" s="195" t="s">
        <v>241</v>
      </c>
      <c r="D33" s="178">
        <v>5</v>
      </c>
      <c r="E33" s="2"/>
      <c r="F33" s="2"/>
    </row>
    <row r="34" spans="2:6">
      <c r="B34" s="3"/>
      <c r="C34" s="3"/>
      <c r="D34" s="2"/>
      <c r="E34" s="2"/>
      <c r="F34" s="2"/>
    </row>
    <row r="35" spans="2:6">
      <c r="B35" s="3"/>
      <c r="C35" s="3"/>
      <c r="D35" s="2"/>
      <c r="E35" s="2"/>
      <c r="F35" s="2"/>
    </row>
    <row r="36" spans="2:6">
      <c r="B36" s="3"/>
      <c r="C36" s="3"/>
      <c r="D36" s="2"/>
      <c r="E36" s="2"/>
      <c r="F36" s="2"/>
    </row>
    <row r="37" spans="2:6">
      <c r="B37" s="93" t="s">
        <v>118</v>
      </c>
      <c r="C37" s="172" t="s">
        <v>216</v>
      </c>
      <c r="D37" s="173" t="s">
        <v>38</v>
      </c>
      <c r="E37" s="173" t="s">
        <v>246</v>
      </c>
      <c r="F37" s="173" t="s">
        <v>247</v>
      </c>
    </row>
    <row r="38" spans="2:6">
      <c r="B38" s="176" t="s">
        <v>248</v>
      </c>
      <c r="C38" s="177" t="s">
        <v>218</v>
      </c>
      <c r="D38" s="177" t="s">
        <v>121</v>
      </c>
      <c r="E38" s="177" t="s">
        <v>121</v>
      </c>
      <c r="F38" s="177" t="s">
        <v>121</v>
      </c>
    </row>
    <row r="39" spans="2:6">
      <c r="B39" s="30" t="s">
        <v>169</v>
      </c>
      <c r="C39" s="178">
        <v>0</v>
      </c>
      <c r="D39" s="178">
        <v>0</v>
      </c>
      <c r="E39" s="178">
        <v>0</v>
      </c>
      <c r="F39" s="178">
        <v>0</v>
      </c>
    </row>
    <row r="40" spans="2:6">
      <c r="B40" s="30" t="s">
        <v>249</v>
      </c>
      <c r="C40" s="178">
        <v>5</v>
      </c>
      <c r="D40" s="178">
        <v>140</v>
      </c>
      <c r="E40" s="178">
        <v>5</v>
      </c>
      <c r="F40" s="178">
        <v>5</v>
      </c>
    </row>
    <row r="41" spans="2:6">
      <c r="B41" s="30" t="s">
        <v>250</v>
      </c>
      <c r="C41" s="178">
        <v>10</v>
      </c>
      <c r="D41" s="178">
        <v>140</v>
      </c>
      <c r="E41" s="178">
        <v>5</v>
      </c>
      <c r="F41" s="178">
        <v>5</v>
      </c>
    </row>
    <row r="42" spans="2:6">
      <c r="B42" s="30" t="s">
        <v>251</v>
      </c>
      <c r="C42" s="178">
        <v>15</v>
      </c>
      <c r="D42" s="178">
        <v>140</v>
      </c>
      <c r="E42" s="178">
        <v>5</v>
      </c>
      <c r="F42" s="178">
        <v>5</v>
      </c>
    </row>
    <row r="43" spans="2:6">
      <c r="B43" s="30" t="s">
        <v>252</v>
      </c>
      <c r="C43" s="178">
        <v>5</v>
      </c>
      <c r="D43" s="178">
        <v>130</v>
      </c>
      <c r="E43" s="178">
        <v>5</v>
      </c>
      <c r="F43" s="178">
        <v>5</v>
      </c>
    </row>
    <row r="44" spans="2:6">
      <c r="B44" s="30" t="s">
        <v>253</v>
      </c>
      <c r="C44" s="178">
        <v>10</v>
      </c>
      <c r="D44" s="178">
        <v>130</v>
      </c>
      <c r="E44" s="178">
        <v>5</v>
      </c>
      <c r="F44" s="178">
        <v>5</v>
      </c>
    </row>
    <row r="45" spans="2:6">
      <c r="B45" s="30" t="s">
        <v>254</v>
      </c>
      <c r="C45" s="178">
        <v>15</v>
      </c>
      <c r="D45" s="178">
        <v>130</v>
      </c>
      <c r="E45" s="178">
        <v>5</v>
      </c>
      <c r="F45" s="178">
        <v>5</v>
      </c>
    </row>
    <row r="46" spans="2:6">
      <c r="B46" s="30" t="s">
        <v>257</v>
      </c>
      <c r="C46" s="178">
        <v>5</v>
      </c>
      <c r="D46" s="178">
        <v>120</v>
      </c>
      <c r="E46" s="178">
        <v>5</v>
      </c>
      <c r="F46" s="178">
        <v>5</v>
      </c>
    </row>
    <row r="47" spans="2:6">
      <c r="B47" s="30" t="s">
        <v>260</v>
      </c>
      <c r="C47" s="178">
        <v>10</v>
      </c>
      <c r="D47" s="178">
        <v>120</v>
      </c>
      <c r="E47" s="178">
        <v>5</v>
      </c>
      <c r="F47" s="178">
        <v>5</v>
      </c>
    </row>
    <row r="48" spans="2:6">
      <c r="B48" s="30" t="s">
        <v>261</v>
      </c>
      <c r="C48" s="178">
        <v>15</v>
      </c>
      <c r="D48" s="178">
        <v>120</v>
      </c>
      <c r="E48" s="178">
        <v>5</v>
      </c>
      <c r="F48" s="178">
        <v>5</v>
      </c>
    </row>
    <row r="49" spans="2:17">
      <c r="B49" s="202" t="s">
        <v>138</v>
      </c>
      <c r="C49" s="203"/>
      <c r="D49" s="203"/>
      <c r="E49" s="203"/>
      <c r="F49" s="203"/>
    </row>
    <row r="50" spans="2:17">
      <c r="B50" s="202" t="s">
        <v>139</v>
      </c>
      <c r="C50" s="203"/>
      <c r="D50" s="203"/>
      <c r="E50" s="203"/>
      <c r="F50" s="203"/>
    </row>
    <row r="51" spans="2:17">
      <c r="B51" s="202" t="s">
        <v>140</v>
      </c>
      <c r="C51" s="203"/>
      <c r="D51" s="203"/>
      <c r="E51" s="203"/>
      <c r="F51" s="203"/>
      <c r="N51" s="163" t="s">
        <v>225</v>
      </c>
      <c r="O51" s="2"/>
      <c r="P51" s="2"/>
      <c r="Q51" s="2"/>
    </row>
    <row r="52" spans="2:17">
      <c r="B52" s="202" t="s">
        <v>141</v>
      </c>
      <c r="C52" s="203"/>
      <c r="D52" s="203"/>
      <c r="E52" s="203"/>
      <c r="F52" s="203"/>
      <c r="N52" s="93" t="s">
        <v>227</v>
      </c>
      <c r="O52" s="2"/>
      <c r="P52" s="2"/>
      <c r="Q52" s="2"/>
    </row>
    <row r="53" spans="2:17">
      <c r="B53" s="202" t="s">
        <v>273</v>
      </c>
      <c r="C53" s="203"/>
      <c r="D53" s="203"/>
      <c r="E53" s="203"/>
      <c r="F53" s="203"/>
      <c r="N53" s="2"/>
      <c r="O53" s="2"/>
      <c r="P53" s="2"/>
      <c r="Q53" s="2"/>
    </row>
    <row r="54" spans="2:17">
      <c r="B54" s="202" t="s">
        <v>274</v>
      </c>
      <c r="C54" s="203"/>
      <c r="D54" s="203"/>
      <c r="E54" s="203"/>
      <c r="F54" s="203"/>
      <c r="N54" s="2"/>
      <c r="O54" s="2"/>
      <c r="P54" s="30"/>
      <c r="Q54" s="2"/>
    </row>
    <row r="55" spans="2:17">
      <c r="B55" s="3"/>
      <c r="C55" s="3"/>
      <c r="D55" s="2"/>
      <c r="E55" s="2"/>
      <c r="F55" s="2"/>
      <c r="P55" s="30"/>
      <c r="Q55" s="2"/>
    </row>
    <row r="56" spans="2:17">
      <c r="B56" s="3"/>
      <c r="C56" s="3"/>
      <c r="D56" s="2"/>
      <c r="E56" s="2"/>
      <c r="F56" s="2"/>
      <c r="P56" s="30"/>
      <c r="Q56" s="2"/>
    </row>
    <row r="57" spans="2:17">
      <c r="B57" s="93" t="s">
        <v>118</v>
      </c>
      <c r="C57" s="172" t="s">
        <v>262</v>
      </c>
      <c r="D57" s="172" t="s">
        <v>263</v>
      </c>
      <c r="E57" s="2"/>
      <c r="F57" s="2"/>
      <c r="P57" s="30"/>
      <c r="Q57" s="2"/>
    </row>
    <row r="58" spans="2:17">
      <c r="B58" s="176" t="s">
        <v>264</v>
      </c>
      <c r="C58" s="177" t="s">
        <v>265</v>
      </c>
      <c r="D58" s="177" t="s">
        <v>121</v>
      </c>
      <c r="E58" s="2"/>
      <c r="F58" s="2"/>
      <c r="P58" s="30"/>
      <c r="Q58" s="2"/>
    </row>
    <row r="59" spans="2:17">
      <c r="B59" s="30" t="s">
        <v>169</v>
      </c>
      <c r="C59" s="178">
        <v>0</v>
      </c>
      <c r="D59" s="178">
        <v>0</v>
      </c>
      <c r="E59" s="2"/>
      <c r="F59" s="2"/>
      <c r="P59" s="30"/>
      <c r="Q59" s="2"/>
    </row>
    <row r="60" spans="2:17">
      <c r="B60" s="55" t="s">
        <v>266</v>
      </c>
      <c r="C60" s="178">
        <v>5</v>
      </c>
      <c r="D60" s="178">
        <v>70</v>
      </c>
      <c r="E60" s="2"/>
      <c r="F60" s="2"/>
      <c r="P60" s="30"/>
      <c r="Q60" s="2"/>
    </row>
    <row r="61" spans="2:17">
      <c r="B61" s="55" t="s">
        <v>174</v>
      </c>
      <c r="C61" s="178">
        <v>10</v>
      </c>
      <c r="D61" s="178">
        <v>70</v>
      </c>
      <c r="E61" s="2"/>
      <c r="F61" s="2"/>
      <c r="P61" s="30"/>
      <c r="Q61" s="2"/>
    </row>
    <row r="62" spans="2:17">
      <c r="B62" s="55" t="s">
        <v>269</v>
      </c>
      <c r="C62" s="178">
        <v>15</v>
      </c>
      <c r="D62" s="178">
        <v>70</v>
      </c>
      <c r="E62" s="2"/>
      <c r="F62" s="2"/>
      <c r="P62" s="30"/>
      <c r="Q62" s="2"/>
    </row>
    <row r="63" spans="2:17">
      <c r="B63" s="55" t="s">
        <v>270</v>
      </c>
      <c r="C63" s="178">
        <v>5</v>
      </c>
      <c r="D63" s="178">
        <v>60</v>
      </c>
      <c r="E63" s="2"/>
      <c r="F63" s="2"/>
      <c r="P63" s="30"/>
      <c r="Q63" s="2"/>
    </row>
    <row r="64" spans="2:17">
      <c r="B64" s="55" t="s">
        <v>271</v>
      </c>
      <c r="C64" s="178">
        <v>10</v>
      </c>
      <c r="D64" s="178">
        <v>60</v>
      </c>
      <c r="E64" s="2"/>
      <c r="F64" s="2"/>
      <c r="P64" s="30"/>
      <c r="Q64" s="2"/>
    </row>
    <row r="65" spans="2:20">
      <c r="B65" s="55" t="s">
        <v>272</v>
      </c>
      <c r="C65" s="178">
        <v>15</v>
      </c>
      <c r="D65" s="178">
        <v>60</v>
      </c>
      <c r="E65" s="2"/>
      <c r="F65" s="2"/>
      <c r="P65" s="30"/>
      <c r="Q65" s="2"/>
    </row>
    <row r="66" spans="2:20">
      <c r="B66" s="202" t="s">
        <v>138</v>
      </c>
      <c r="C66" s="203"/>
      <c r="D66" s="203"/>
      <c r="E66" s="2"/>
      <c r="F66" s="2"/>
      <c r="N66" s="2"/>
      <c r="O66" s="2"/>
      <c r="P66" s="30"/>
      <c r="Q66" s="2"/>
    </row>
    <row r="67" spans="2:20">
      <c r="B67" s="202" t="s">
        <v>139</v>
      </c>
      <c r="C67" s="203"/>
      <c r="D67" s="203"/>
      <c r="E67" s="2"/>
      <c r="F67" s="2"/>
      <c r="N67" s="2"/>
      <c r="O67" s="2"/>
      <c r="P67" s="30"/>
      <c r="Q67" s="2"/>
    </row>
    <row r="68" spans="2:20">
      <c r="B68" s="202" t="s">
        <v>140</v>
      </c>
      <c r="C68" s="203"/>
      <c r="D68" s="203"/>
      <c r="E68" s="2"/>
      <c r="F68" s="2"/>
      <c r="N68" s="2" t="s">
        <v>444</v>
      </c>
      <c r="O68" s="2"/>
      <c r="P68" s="30"/>
      <c r="Q68" s="2"/>
    </row>
    <row r="69" spans="2:20">
      <c r="B69" s="202" t="s">
        <v>141</v>
      </c>
      <c r="C69" s="203"/>
      <c r="D69" s="203"/>
      <c r="E69" s="2"/>
      <c r="F69" s="2"/>
      <c r="N69" s="196" t="s">
        <v>58</v>
      </c>
      <c r="O69" s="188" t="s">
        <v>228</v>
      </c>
      <c r="P69" s="30"/>
      <c r="Q69" s="2"/>
    </row>
    <row r="70" spans="2:20">
      <c r="B70" s="202" t="s">
        <v>273</v>
      </c>
      <c r="C70" s="203"/>
      <c r="D70" s="203"/>
      <c r="E70" s="2"/>
      <c r="F70" s="2"/>
      <c r="N70" s="197" t="s">
        <v>66</v>
      </c>
      <c r="O70" s="30">
        <v>0.95</v>
      </c>
      <c r="P70" s="30"/>
      <c r="Q70" s="2"/>
    </row>
    <row r="71" spans="2:20">
      <c r="B71" s="202" t="s">
        <v>274</v>
      </c>
      <c r="C71" s="203"/>
      <c r="D71" s="203"/>
      <c r="E71" s="2"/>
      <c r="F71" s="2"/>
      <c r="N71" s="197" t="s">
        <v>65</v>
      </c>
      <c r="O71" s="30">
        <v>0.91</v>
      </c>
      <c r="P71" s="30"/>
      <c r="Q71" s="2"/>
    </row>
    <row r="72" spans="2:20">
      <c r="B72" s="202" t="s">
        <v>275</v>
      </c>
      <c r="C72" s="203"/>
      <c r="D72" s="203"/>
      <c r="E72" s="2"/>
      <c r="F72" s="2"/>
      <c r="N72" s="197" t="s">
        <v>64</v>
      </c>
      <c r="O72" s="30">
        <v>0.86</v>
      </c>
      <c r="P72" s="30"/>
      <c r="Q72" s="2"/>
    </row>
    <row r="73" spans="2:20">
      <c r="B73" s="3"/>
      <c r="C73" s="3"/>
      <c r="D73" s="2"/>
      <c r="E73" s="2"/>
      <c r="F73" s="2"/>
      <c r="N73" s="197" t="s">
        <v>63</v>
      </c>
      <c r="O73" s="30">
        <v>0.83</v>
      </c>
      <c r="P73" s="30"/>
      <c r="Q73" s="2"/>
    </row>
    <row r="74" spans="2:20">
      <c r="B74" s="3"/>
      <c r="C74" s="3"/>
      <c r="D74" s="2"/>
      <c r="E74" s="2"/>
      <c r="F74" s="2"/>
      <c r="N74" s="197" t="s">
        <v>62</v>
      </c>
      <c r="O74" s="30">
        <v>0.81</v>
      </c>
      <c r="P74" s="30"/>
      <c r="Q74" s="2"/>
    </row>
    <row r="75" spans="2:20">
      <c r="B75" s="189" t="s">
        <v>435</v>
      </c>
      <c r="C75" s="190" t="s">
        <v>276</v>
      </c>
      <c r="D75" s="205" t="s">
        <v>277</v>
      </c>
      <c r="E75" s="330" t="s">
        <v>329</v>
      </c>
      <c r="F75" s="2"/>
      <c r="N75" s="197" t="s">
        <v>61</v>
      </c>
      <c r="O75" s="30">
        <v>0.81</v>
      </c>
      <c r="P75" s="30"/>
      <c r="Q75" s="2"/>
    </row>
    <row r="76" spans="2:20">
      <c r="B76" s="344" t="s">
        <v>436</v>
      </c>
      <c r="C76" s="192" t="s">
        <v>278</v>
      </c>
      <c r="D76" s="206" t="s">
        <v>279</v>
      </c>
      <c r="E76" s="331" t="s">
        <v>144</v>
      </c>
      <c r="F76" s="2"/>
      <c r="N76" s="197" t="s">
        <v>60</v>
      </c>
      <c r="O76" s="30">
        <v>0.81</v>
      </c>
      <c r="P76" s="30"/>
      <c r="Q76" s="2"/>
    </row>
    <row r="77" spans="2:20">
      <c r="B77" s="340" t="s">
        <v>282</v>
      </c>
      <c r="C77" s="191">
        <v>250</v>
      </c>
      <c r="D77" s="207" t="s">
        <v>64</v>
      </c>
      <c r="E77" s="332">
        <v>54</v>
      </c>
      <c r="F77" s="2"/>
      <c r="N77" s="197" t="s">
        <v>59</v>
      </c>
      <c r="O77" s="30">
        <v>0.81</v>
      </c>
      <c r="P77" s="30"/>
      <c r="Q77" s="2"/>
    </row>
    <row r="78" spans="2:20">
      <c r="B78" s="335" t="s">
        <v>339</v>
      </c>
      <c r="C78" s="283">
        <v>150</v>
      </c>
      <c r="D78" s="333" t="s">
        <v>64</v>
      </c>
      <c r="E78" s="334">
        <v>48.150000000000006</v>
      </c>
      <c r="F78" s="2"/>
      <c r="N78" s="2"/>
      <c r="O78" s="2"/>
      <c r="P78" s="30"/>
      <c r="Q78" s="373" t="s">
        <v>468</v>
      </c>
      <c r="R78" s="374"/>
      <c r="S78" s="374"/>
      <c r="T78" s="374"/>
    </row>
    <row r="79" spans="2:20">
      <c r="B79" s="335" t="s">
        <v>340</v>
      </c>
      <c r="C79" s="283">
        <v>150</v>
      </c>
      <c r="D79" s="333" t="s">
        <v>63</v>
      </c>
      <c r="E79" s="334">
        <v>67.05</v>
      </c>
      <c r="F79" s="2"/>
      <c r="N79" s="2" t="s">
        <v>255</v>
      </c>
      <c r="O79" s="2"/>
      <c r="P79" s="30"/>
      <c r="Q79" s="373" t="s">
        <v>469</v>
      </c>
      <c r="R79" s="374"/>
      <c r="S79" s="374"/>
      <c r="T79" s="374"/>
    </row>
    <row r="80" spans="2:20">
      <c r="B80" s="335" t="s">
        <v>341</v>
      </c>
      <c r="C80" s="283">
        <v>150</v>
      </c>
      <c r="D80" s="333" t="s">
        <v>62</v>
      </c>
      <c r="E80" s="334">
        <v>88.2</v>
      </c>
      <c r="F80" s="2"/>
      <c r="O80" s="378" t="s">
        <v>256</v>
      </c>
      <c r="P80" s="379"/>
      <c r="Q80" s="375" t="s">
        <v>466</v>
      </c>
      <c r="R80" s="376"/>
      <c r="S80" s="377" t="s">
        <v>467</v>
      </c>
      <c r="T80" s="376"/>
    </row>
    <row r="81" spans="2:20">
      <c r="B81" s="335" t="s">
        <v>342</v>
      </c>
      <c r="C81" s="283">
        <v>300</v>
      </c>
      <c r="D81" s="333" t="s">
        <v>64</v>
      </c>
      <c r="E81" s="334">
        <v>60.300000000000004</v>
      </c>
      <c r="F81" s="2"/>
      <c r="N81" s="198" t="s">
        <v>258</v>
      </c>
      <c r="O81" s="199" t="s">
        <v>259</v>
      </c>
      <c r="P81" s="199" t="s">
        <v>195</v>
      </c>
      <c r="Q81" s="364" t="s">
        <v>358</v>
      </c>
      <c r="R81" s="365" t="s">
        <v>362</v>
      </c>
      <c r="S81" s="364" t="s">
        <v>358</v>
      </c>
      <c r="T81" s="365" t="s">
        <v>362</v>
      </c>
    </row>
    <row r="82" spans="2:20">
      <c r="B82" s="335" t="s">
        <v>326</v>
      </c>
      <c r="C82" s="283">
        <v>300</v>
      </c>
      <c r="D82" s="333" t="s">
        <v>63</v>
      </c>
      <c r="E82" s="334">
        <v>84.15</v>
      </c>
      <c r="F82" s="2"/>
      <c r="N82" s="200">
        <v>0</v>
      </c>
      <c r="O82" s="201">
        <v>0</v>
      </c>
      <c r="P82" s="201">
        <v>0</v>
      </c>
      <c r="Q82" s="366">
        <f>(O82-O83)/(N82-N83)</f>
        <v>2.9999999999999996</v>
      </c>
      <c r="R82" s="367">
        <f>O82-Q82*N82</f>
        <v>0</v>
      </c>
      <c r="S82" s="366">
        <f>(P82-P83)/(N82-N83)</f>
        <v>3.6999999999999997</v>
      </c>
      <c r="T82" s="366">
        <f>P82-S82*N82</f>
        <v>0</v>
      </c>
    </row>
    <row r="83" spans="2:20">
      <c r="B83" s="335" t="s">
        <v>343</v>
      </c>
      <c r="C83" s="283">
        <v>300</v>
      </c>
      <c r="D83" s="333" t="s">
        <v>62</v>
      </c>
      <c r="E83" s="334">
        <v>110.25000000000001</v>
      </c>
      <c r="F83" s="2"/>
      <c r="N83" s="200">
        <f>N82+0.1</f>
        <v>0.1</v>
      </c>
      <c r="O83" s="201">
        <v>0.3</v>
      </c>
      <c r="P83" s="201">
        <v>0.37</v>
      </c>
      <c r="Q83" s="366">
        <f t="shared" ref="Q83:Q88" si="0">(O83-O84)/(N83-N84)</f>
        <v>2.5000000000000004</v>
      </c>
      <c r="R83" s="368">
        <f t="shared" ref="R83:R88" si="1">O83-Q83*N83</f>
        <v>4.9999999999999933E-2</v>
      </c>
      <c r="S83" s="366">
        <f t="shared" ref="S83:S88" si="2">(P83-P84)/(N83-N84)</f>
        <v>3.2999999999999994</v>
      </c>
      <c r="T83" s="366">
        <f t="shared" ref="T83:T88" si="3">P83-S83*N83</f>
        <v>4.0000000000000036E-2</v>
      </c>
    </row>
    <row r="84" spans="2:20">
      <c r="B84" s="335" t="s">
        <v>344</v>
      </c>
      <c r="C84" s="342">
        <v>400</v>
      </c>
      <c r="D84" s="336" t="s">
        <v>63</v>
      </c>
      <c r="E84" s="337">
        <v>80</v>
      </c>
      <c r="F84" s="2"/>
      <c r="N84" s="200">
        <f t="shared" ref="N84:N89" si="4">N83+0.1</f>
        <v>0.2</v>
      </c>
      <c r="O84" s="201">
        <v>0.55000000000000004</v>
      </c>
      <c r="P84" s="201">
        <v>0.7</v>
      </c>
      <c r="Q84" s="366">
        <f t="shared" si="0"/>
        <v>1.9999999999999989</v>
      </c>
      <c r="R84" s="368">
        <f t="shared" si="1"/>
        <v>0.15000000000000024</v>
      </c>
      <c r="S84" s="366">
        <f t="shared" si="2"/>
        <v>1.4999999999999998</v>
      </c>
      <c r="T84" s="366">
        <f t="shared" si="3"/>
        <v>0.39999999999999997</v>
      </c>
    </row>
    <row r="85" spans="2:20">
      <c r="B85" s="340" t="s">
        <v>284</v>
      </c>
      <c r="C85" s="191">
        <v>500</v>
      </c>
      <c r="D85" s="207" t="s">
        <v>64</v>
      </c>
      <c r="E85" s="337">
        <v>84</v>
      </c>
      <c r="F85" s="2"/>
      <c r="N85" s="200">
        <f t="shared" si="4"/>
        <v>0.30000000000000004</v>
      </c>
      <c r="O85" s="201">
        <v>0.75</v>
      </c>
      <c r="P85" s="201">
        <v>0.85</v>
      </c>
      <c r="Q85" s="366">
        <f t="shared" si="0"/>
        <v>1</v>
      </c>
      <c r="R85" s="368">
        <f t="shared" si="1"/>
        <v>0.44999999999999996</v>
      </c>
      <c r="S85" s="366">
        <f t="shared" si="2"/>
        <v>0.89999999999999991</v>
      </c>
      <c r="T85" s="366">
        <f t="shared" si="3"/>
        <v>0.57999999999999996</v>
      </c>
    </row>
    <row r="86" spans="2:20">
      <c r="B86" s="340" t="s">
        <v>186</v>
      </c>
      <c r="C86" s="191">
        <v>500</v>
      </c>
      <c r="D86" s="207" t="s">
        <v>63</v>
      </c>
      <c r="E86" s="337">
        <v>108</v>
      </c>
      <c r="F86" s="2"/>
      <c r="N86" s="200">
        <f t="shared" si="4"/>
        <v>0.4</v>
      </c>
      <c r="O86" s="201">
        <v>0.85</v>
      </c>
      <c r="P86" s="201">
        <v>0.94</v>
      </c>
      <c r="Q86" s="366">
        <f t="shared" si="0"/>
        <v>1</v>
      </c>
      <c r="R86" s="368">
        <f t="shared" si="1"/>
        <v>0.44999999999999996</v>
      </c>
      <c r="S86" s="366">
        <f t="shared" si="2"/>
        <v>0.40000000000000047</v>
      </c>
      <c r="T86" s="366">
        <f t="shared" si="3"/>
        <v>0.7799999999999998</v>
      </c>
    </row>
    <row r="87" spans="2:20">
      <c r="B87" s="340" t="s">
        <v>285</v>
      </c>
      <c r="C87" s="191">
        <v>500</v>
      </c>
      <c r="D87" s="207" t="s">
        <v>62</v>
      </c>
      <c r="E87" s="337">
        <v>135</v>
      </c>
      <c r="F87" s="2"/>
      <c r="N87" s="200">
        <f t="shared" si="4"/>
        <v>0.5</v>
      </c>
      <c r="O87" s="201">
        <v>0.95</v>
      </c>
      <c r="P87" s="201">
        <v>0.98</v>
      </c>
      <c r="Q87" s="366">
        <f t="shared" si="0"/>
        <v>0.30000000000000032</v>
      </c>
      <c r="R87" s="368">
        <f t="shared" si="1"/>
        <v>0.79999999999999982</v>
      </c>
      <c r="S87" s="366">
        <f t="shared" si="2"/>
        <v>0.20000000000000023</v>
      </c>
      <c r="T87" s="366">
        <f t="shared" si="3"/>
        <v>0.87999999999999989</v>
      </c>
    </row>
    <row r="88" spans="2:20">
      <c r="B88" s="335" t="s">
        <v>345</v>
      </c>
      <c r="C88" s="283">
        <v>150</v>
      </c>
      <c r="D88" s="333" t="s">
        <v>65</v>
      </c>
      <c r="E88" s="334">
        <v>34.65</v>
      </c>
      <c r="F88" s="2"/>
      <c r="N88" s="200">
        <f t="shared" si="4"/>
        <v>0.6</v>
      </c>
      <c r="O88" s="201">
        <v>0.98</v>
      </c>
      <c r="P88" s="201">
        <v>1</v>
      </c>
      <c r="Q88" s="366">
        <f t="shared" si="0"/>
        <v>0.20000000000000023</v>
      </c>
      <c r="R88" s="368">
        <f t="shared" si="1"/>
        <v>0.85999999999999988</v>
      </c>
      <c r="S88" s="366">
        <f t="shared" si="2"/>
        <v>0</v>
      </c>
      <c r="T88" s="366">
        <f t="shared" si="3"/>
        <v>1</v>
      </c>
    </row>
    <row r="89" spans="2:20">
      <c r="B89" s="335" t="s">
        <v>346</v>
      </c>
      <c r="C89" s="283">
        <v>200</v>
      </c>
      <c r="D89" s="333" t="s">
        <v>65</v>
      </c>
      <c r="E89" s="334">
        <v>37.799999999999997</v>
      </c>
      <c r="F89" s="2"/>
      <c r="N89" s="200">
        <f t="shared" si="4"/>
        <v>0.7</v>
      </c>
      <c r="O89" s="201">
        <v>1</v>
      </c>
      <c r="P89" s="201">
        <v>1</v>
      </c>
      <c r="Q89" s="366">
        <v>0</v>
      </c>
      <c r="R89" s="368">
        <v>1</v>
      </c>
      <c r="S89" s="366">
        <v>0</v>
      </c>
      <c r="T89" s="366">
        <v>1</v>
      </c>
    </row>
    <row r="90" spans="2:20">
      <c r="B90" s="335" t="s">
        <v>347</v>
      </c>
      <c r="C90" s="283">
        <v>300</v>
      </c>
      <c r="D90" s="333" t="s">
        <v>65</v>
      </c>
      <c r="E90" s="334">
        <v>43.199999999999996</v>
      </c>
      <c r="F90" s="2"/>
      <c r="N90" s="2"/>
      <c r="O90" s="2"/>
      <c r="P90" s="2"/>
      <c r="Q90" s="2"/>
    </row>
    <row r="91" spans="2:20">
      <c r="B91" s="341" t="s">
        <v>348</v>
      </c>
      <c r="C91" s="343">
        <v>400</v>
      </c>
      <c r="D91" s="338" t="s">
        <v>65</v>
      </c>
      <c r="E91" s="339">
        <v>47.7</v>
      </c>
      <c r="F91" s="2"/>
      <c r="Q91" s="373" t="s">
        <v>468</v>
      </c>
      <c r="R91" s="374"/>
      <c r="S91" s="374"/>
      <c r="T91" s="374"/>
    </row>
    <row r="92" spans="2:20">
      <c r="B92" s="95" t="s">
        <v>145</v>
      </c>
      <c r="C92" s="95"/>
      <c r="D92" s="95"/>
      <c r="E92" s="95"/>
      <c r="F92" s="2"/>
      <c r="N92" s="2" t="s">
        <v>267</v>
      </c>
      <c r="O92" s="2"/>
      <c r="P92" s="2"/>
      <c r="Q92" s="373" t="s">
        <v>469</v>
      </c>
      <c r="R92" s="374"/>
      <c r="S92" s="374"/>
      <c r="T92" s="374"/>
    </row>
    <row r="93" spans="2:20">
      <c r="B93" s="95" t="s">
        <v>146</v>
      </c>
      <c r="C93" s="95"/>
      <c r="D93" s="95"/>
      <c r="E93" s="95"/>
      <c r="F93" s="2"/>
      <c r="O93" s="378" t="s">
        <v>256</v>
      </c>
      <c r="P93" s="379"/>
      <c r="Q93" s="375" t="s">
        <v>466</v>
      </c>
      <c r="R93" s="376"/>
      <c r="S93" s="377" t="s">
        <v>467</v>
      </c>
      <c r="T93" s="376"/>
    </row>
    <row r="94" spans="2:20">
      <c r="B94" s="95" t="s">
        <v>147</v>
      </c>
      <c r="C94" s="95"/>
      <c r="D94" s="95"/>
      <c r="E94" s="95"/>
      <c r="F94" s="2"/>
      <c r="N94" s="198" t="s">
        <v>268</v>
      </c>
      <c r="O94" s="199" t="s">
        <v>259</v>
      </c>
      <c r="P94" s="199" t="s">
        <v>195</v>
      </c>
      <c r="Q94" s="364" t="s">
        <v>358</v>
      </c>
      <c r="R94" s="365" t="s">
        <v>362</v>
      </c>
      <c r="S94" s="364" t="s">
        <v>358</v>
      </c>
      <c r="T94" s="365" t="s">
        <v>362</v>
      </c>
    </row>
    <row r="95" spans="2:20">
      <c r="B95" s="95" t="s">
        <v>148</v>
      </c>
      <c r="C95" s="95"/>
      <c r="D95" s="95"/>
      <c r="E95" s="95"/>
      <c r="F95" s="2"/>
      <c r="N95" s="200">
        <v>0</v>
      </c>
      <c r="O95" s="201">
        <v>1</v>
      </c>
      <c r="P95" s="201">
        <v>1</v>
      </c>
      <c r="Q95" s="366">
        <f>(O95-O96)/(N95-N96)</f>
        <v>-3.0000000000000004</v>
      </c>
      <c r="R95" s="367">
        <f>O95-Q95*N95</f>
        <v>1</v>
      </c>
      <c r="S95" s="366">
        <f>(P95-P96)/(N95-N96)</f>
        <v>-3.6999999999999997</v>
      </c>
      <c r="T95" s="366">
        <f>P95-S95*N95</f>
        <v>1</v>
      </c>
    </row>
    <row r="96" spans="2:20">
      <c r="B96" s="95" t="s">
        <v>149</v>
      </c>
      <c r="C96" s="95"/>
      <c r="D96" s="95"/>
      <c r="E96" s="95"/>
      <c r="F96" s="2"/>
      <c r="N96" s="200">
        <f>N95+0.1</f>
        <v>0.1</v>
      </c>
      <c r="O96" s="201">
        <v>0.7</v>
      </c>
      <c r="P96" s="201">
        <v>0.63</v>
      </c>
      <c r="Q96" s="366">
        <f t="shared" ref="Q96:Q101" si="5">(O96-O97)/(N96-N97)</f>
        <v>-2.4999999999999991</v>
      </c>
      <c r="R96" s="368">
        <f t="shared" ref="R96:R101" si="6">O96-Q96*N96</f>
        <v>0.94999999999999984</v>
      </c>
      <c r="S96" s="366">
        <f t="shared" ref="S96:S101" si="7">(P96-P97)/(N96-N97)</f>
        <v>-3.3</v>
      </c>
      <c r="T96" s="366">
        <f t="shared" ref="T96:T101" si="8">P96-S96*N96</f>
        <v>0.96</v>
      </c>
    </row>
    <row r="97" spans="2:20">
      <c r="B97" s="95" t="s">
        <v>150</v>
      </c>
      <c r="C97" s="95"/>
      <c r="D97" s="95"/>
      <c r="E97" s="95"/>
      <c r="F97" s="2"/>
      <c r="N97" s="200">
        <f t="shared" ref="N97:N102" si="9">N96+0.1</f>
        <v>0.2</v>
      </c>
      <c r="O97" s="201">
        <v>0.45</v>
      </c>
      <c r="P97" s="201">
        <v>0.3</v>
      </c>
      <c r="Q97" s="366">
        <f t="shared" si="5"/>
        <v>-1.9999999999999996</v>
      </c>
      <c r="R97" s="368">
        <f t="shared" si="6"/>
        <v>0.84999999999999987</v>
      </c>
      <c r="S97" s="366">
        <f t="shared" si="7"/>
        <v>-1.4999999999999996</v>
      </c>
      <c r="T97" s="366">
        <f t="shared" si="8"/>
        <v>0.59999999999999987</v>
      </c>
    </row>
    <row r="98" spans="2:20">
      <c r="N98" s="200">
        <f t="shared" si="9"/>
        <v>0.30000000000000004</v>
      </c>
      <c r="O98" s="201">
        <v>0.25</v>
      </c>
      <c r="P98" s="201">
        <v>0.15</v>
      </c>
      <c r="Q98" s="366">
        <f t="shared" si="5"/>
        <v>-1.0000000000000002</v>
      </c>
      <c r="R98" s="368">
        <f t="shared" si="6"/>
        <v>0.55000000000000004</v>
      </c>
      <c r="S98" s="366">
        <f t="shared" si="7"/>
        <v>-0.90000000000000013</v>
      </c>
      <c r="T98" s="366">
        <f t="shared" si="8"/>
        <v>0.42000000000000004</v>
      </c>
    </row>
    <row r="99" spans="2:20">
      <c r="N99" s="200">
        <f t="shared" si="9"/>
        <v>0.4</v>
      </c>
      <c r="O99" s="201">
        <v>0.15</v>
      </c>
      <c r="P99" s="201">
        <v>0.06</v>
      </c>
      <c r="Q99" s="366">
        <f t="shared" si="5"/>
        <v>-1.0000000000000002</v>
      </c>
      <c r="R99" s="368">
        <f t="shared" si="6"/>
        <v>0.55000000000000016</v>
      </c>
      <c r="S99" s="366">
        <f t="shared" si="7"/>
        <v>-0.4</v>
      </c>
      <c r="T99" s="366">
        <f t="shared" si="8"/>
        <v>0.22000000000000003</v>
      </c>
    </row>
    <row r="100" spans="2:20">
      <c r="B100" s="93" t="s">
        <v>118</v>
      </c>
      <c r="C100" s="172" t="s">
        <v>216</v>
      </c>
      <c r="D100" s="173" t="s">
        <v>38</v>
      </c>
      <c r="N100" s="200">
        <f t="shared" si="9"/>
        <v>0.5</v>
      </c>
      <c r="O100" s="201">
        <v>0.05</v>
      </c>
      <c r="P100" s="201">
        <v>0.02</v>
      </c>
      <c r="Q100" s="366">
        <f t="shared" si="5"/>
        <v>-0.3000000000000001</v>
      </c>
      <c r="R100" s="368">
        <f t="shared" si="6"/>
        <v>0.20000000000000007</v>
      </c>
      <c r="S100" s="366">
        <f t="shared" si="7"/>
        <v>-0.20000000000000004</v>
      </c>
      <c r="T100" s="366">
        <f t="shared" si="8"/>
        <v>0.12000000000000002</v>
      </c>
    </row>
    <row r="101" spans="2:20">
      <c r="B101" s="176" t="s">
        <v>293</v>
      </c>
      <c r="C101" s="177" t="s">
        <v>218</v>
      </c>
      <c r="D101" s="177" t="s">
        <v>121</v>
      </c>
      <c r="N101" s="200">
        <f t="shared" si="9"/>
        <v>0.6</v>
      </c>
      <c r="O101" s="201">
        <v>0.02</v>
      </c>
      <c r="P101" s="201">
        <v>0</v>
      </c>
      <c r="Q101" s="366">
        <f t="shared" si="5"/>
        <v>-0.20000000000000004</v>
      </c>
      <c r="R101" s="368">
        <f t="shared" si="6"/>
        <v>0.14000000000000001</v>
      </c>
      <c r="S101" s="366">
        <f t="shared" si="7"/>
        <v>0</v>
      </c>
      <c r="T101" s="366">
        <f t="shared" si="8"/>
        <v>0</v>
      </c>
    </row>
    <row r="102" spans="2:20">
      <c r="B102" s="30" t="s">
        <v>294</v>
      </c>
      <c r="C102" s="178">
        <v>5</v>
      </c>
      <c r="D102" s="178">
        <v>80</v>
      </c>
      <c r="N102" s="200">
        <f t="shared" si="9"/>
        <v>0.7</v>
      </c>
      <c r="O102" s="201">
        <v>0</v>
      </c>
      <c r="P102" s="201">
        <v>0</v>
      </c>
      <c r="Q102" s="366">
        <v>0</v>
      </c>
      <c r="R102" s="368">
        <v>0</v>
      </c>
      <c r="S102" s="366">
        <v>0</v>
      </c>
      <c r="T102" s="366">
        <v>0</v>
      </c>
    </row>
    <row r="103" spans="2:20">
      <c r="B103" s="30" t="s">
        <v>289</v>
      </c>
      <c r="C103" s="178">
        <v>10</v>
      </c>
      <c r="D103" s="178">
        <v>80</v>
      </c>
      <c r="N103" s="2"/>
      <c r="O103" s="2"/>
      <c r="P103" s="2"/>
      <c r="Q103" s="2"/>
    </row>
    <row r="104" spans="2:20">
      <c r="B104" s="30" t="s">
        <v>295</v>
      </c>
      <c r="C104" s="178">
        <v>20</v>
      </c>
      <c r="D104" s="178">
        <v>80</v>
      </c>
      <c r="N104" s="30" t="s">
        <v>195</v>
      </c>
      <c r="O104" s="2"/>
      <c r="P104" s="2"/>
      <c r="Q104" s="2"/>
    </row>
    <row r="105" spans="2:20">
      <c r="B105" s="30" t="s">
        <v>296</v>
      </c>
      <c r="C105" s="178">
        <v>30</v>
      </c>
      <c r="D105" s="178">
        <v>80</v>
      </c>
      <c r="N105" s="30" t="s">
        <v>259</v>
      </c>
      <c r="O105" s="2"/>
      <c r="P105" s="2"/>
      <c r="Q105" s="2"/>
    </row>
    <row r="106" spans="2:20">
      <c r="B106" s="30" t="s">
        <v>297</v>
      </c>
      <c r="C106" s="178">
        <v>5</v>
      </c>
      <c r="D106" s="178">
        <v>60</v>
      </c>
      <c r="N106" s="2"/>
      <c r="O106" s="2"/>
      <c r="P106" s="2"/>
      <c r="Q106" s="2"/>
    </row>
    <row r="107" spans="2:20">
      <c r="B107" s="30" t="s">
        <v>298</v>
      </c>
      <c r="C107" s="178">
        <v>10</v>
      </c>
      <c r="D107" s="178">
        <v>60</v>
      </c>
      <c r="N107" s="2" t="s">
        <v>445</v>
      </c>
      <c r="O107" s="2"/>
      <c r="P107" s="2"/>
      <c r="Q107" s="2"/>
    </row>
    <row r="108" spans="2:20">
      <c r="B108" s="30" t="s">
        <v>299</v>
      </c>
      <c r="C108" s="178">
        <v>20</v>
      </c>
      <c r="D108" s="178">
        <v>60</v>
      </c>
      <c r="N108" s="2" t="s">
        <v>280</v>
      </c>
      <c r="O108" s="2" t="s">
        <v>281</v>
      </c>
      <c r="P108" s="2"/>
      <c r="Q108" s="2"/>
    </row>
    <row r="109" spans="2:20">
      <c r="B109" s="30" t="s">
        <v>300</v>
      </c>
      <c r="C109" s="178">
        <v>30</v>
      </c>
      <c r="D109" s="178">
        <v>60</v>
      </c>
      <c r="N109" s="208" t="s">
        <v>283</v>
      </c>
      <c r="O109" s="208" t="s">
        <v>283</v>
      </c>
      <c r="P109" s="188" t="s">
        <v>58</v>
      </c>
      <c r="Q109" s="2"/>
    </row>
    <row r="110" spans="2:20">
      <c r="B110" s="203" t="s">
        <v>138</v>
      </c>
      <c r="C110" s="203"/>
      <c r="D110" s="203"/>
      <c r="N110" s="4">
        <v>0</v>
      </c>
      <c r="O110" s="4">
        <v>0</v>
      </c>
      <c r="P110" s="2" t="s">
        <v>59</v>
      </c>
      <c r="Q110" s="2"/>
    </row>
    <row r="111" spans="2:20">
      <c r="B111" s="203" t="s">
        <v>139</v>
      </c>
      <c r="C111" s="203"/>
      <c r="D111" s="203"/>
      <c r="N111" s="209">
        <v>30</v>
      </c>
      <c r="O111" s="209">
        <v>55</v>
      </c>
      <c r="P111" s="2" t="s">
        <v>60</v>
      </c>
      <c r="Q111" s="2"/>
    </row>
    <row r="112" spans="2:20">
      <c r="B112" s="203" t="s">
        <v>140</v>
      </c>
      <c r="C112" s="203"/>
      <c r="D112" s="203"/>
      <c r="N112" s="209">
        <v>34</v>
      </c>
      <c r="O112" s="209">
        <v>59</v>
      </c>
      <c r="P112" s="2" t="s">
        <v>61</v>
      </c>
      <c r="Q112" s="2"/>
    </row>
    <row r="113" spans="2:17">
      <c r="B113" s="203" t="s">
        <v>141</v>
      </c>
      <c r="C113" s="203"/>
      <c r="D113" s="203"/>
      <c r="N113" s="209">
        <v>37</v>
      </c>
      <c r="O113" s="209">
        <v>61</v>
      </c>
      <c r="P113" s="2" t="s">
        <v>62</v>
      </c>
      <c r="Q113" s="2"/>
    </row>
    <row r="114" spans="2:17">
      <c r="B114" s="203" t="s">
        <v>273</v>
      </c>
      <c r="C114" s="203"/>
      <c r="D114" s="203"/>
      <c r="N114" s="209">
        <v>75</v>
      </c>
      <c r="O114" s="209">
        <v>100</v>
      </c>
      <c r="P114" s="2" t="s">
        <v>63</v>
      </c>
      <c r="Q114" s="2"/>
    </row>
    <row r="115" spans="2:17">
      <c r="B115" s="203" t="s">
        <v>274</v>
      </c>
      <c r="C115" s="203"/>
      <c r="D115" s="203"/>
      <c r="N115" s="209">
        <v>82</v>
      </c>
      <c r="O115" s="209">
        <v>107</v>
      </c>
      <c r="P115" s="2" t="s">
        <v>64</v>
      </c>
      <c r="Q115" s="2"/>
    </row>
    <row r="116" spans="2:17">
      <c r="B116" s="203" t="s">
        <v>275</v>
      </c>
      <c r="C116" s="203"/>
      <c r="D116" s="203"/>
      <c r="N116" s="209">
        <v>90</v>
      </c>
      <c r="O116" s="209">
        <v>115</v>
      </c>
      <c r="P116" s="2" t="s">
        <v>65</v>
      </c>
      <c r="Q116" s="2"/>
    </row>
    <row r="117" spans="2:17">
      <c r="N117" s="209">
        <v>98</v>
      </c>
      <c r="O117" s="209">
        <v>123</v>
      </c>
      <c r="P117" s="2" t="s">
        <v>66</v>
      </c>
      <c r="Q117" s="2"/>
    </row>
    <row r="118" spans="2:17">
      <c r="N118" s="209">
        <v>125</v>
      </c>
      <c r="O118" s="209">
        <v>150</v>
      </c>
      <c r="P118" s="2" t="s">
        <v>67</v>
      </c>
      <c r="Q118" s="2"/>
    </row>
    <row r="119" spans="2:17">
      <c r="B119" s="79"/>
      <c r="C119" s="79"/>
      <c r="D119" s="79" t="s">
        <v>117</v>
      </c>
      <c r="N119" s="209">
        <v>150</v>
      </c>
      <c r="O119" s="209">
        <v>175</v>
      </c>
      <c r="P119" s="2" t="s">
        <v>68</v>
      </c>
      <c r="Q119" s="2"/>
    </row>
    <row r="120" spans="2:17">
      <c r="B120" s="80" t="s">
        <v>118</v>
      </c>
      <c r="C120" s="81" t="s">
        <v>38</v>
      </c>
      <c r="D120" s="82" t="s">
        <v>119</v>
      </c>
      <c r="N120" s="2"/>
      <c r="O120" s="2"/>
      <c r="P120" s="2"/>
      <c r="Q120" s="2"/>
    </row>
    <row r="121" spans="2:17">
      <c r="B121" s="83" t="s">
        <v>120</v>
      </c>
      <c r="C121" s="84" t="s">
        <v>121</v>
      </c>
      <c r="D121" s="85" t="s">
        <v>122</v>
      </c>
    </row>
    <row r="122" spans="2:17">
      <c r="B122" s="87" t="s">
        <v>123</v>
      </c>
      <c r="C122" s="88">
        <v>80</v>
      </c>
      <c r="D122" s="89" t="s">
        <v>69</v>
      </c>
    </row>
    <row r="123" spans="2:17">
      <c r="B123" s="87" t="s">
        <v>124</v>
      </c>
      <c r="C123" s="88">
        <v>80</v>
      </c>
      <c r="D123" s="89" t="s">
        <v>80</v>
      </c>
    </row>
    <row r="124" spans="2:17">
      <c r="B124" s="87" t="s">
        <v>125</v>
      </c>
      <c r="C124" s="88">
        <v>80</v>
      </c>
      <c r="D124" s="89" t="s">
        <v>89</v>
      </c>
    </row>
    <row r="125" spans="2:17">
      <c r="B125" s="87" t="s">
        <v>126</v>
      </c>
      <c r="C125" s="88">
        <v>80</v>
      </c>
      <c r="D125" s="89" t="s">
        <v>97</v>
      </c>
    </row>
    <row r="126" spans="2:17">
      <c r="B126" s="87" t="s">
        <v>35</v>
      </c>
      <c r="C126" s="88">
        <v>70</v>
      </c>
      <c r="D126" s="89" t="s">
        <v>69</v>
      </c>
    </row>
    <row r="127" spans="2:17">
      <c r="B127" s="87" t="s">
        <v>127</v>
      </c>
      <c r="C127" s="88">
        <v>70</v>
      </c>
      <c r="D127" s="89" t="s">
        <v>80</v>
      </c>
    </row>
    <row r="128" spans="2:17">
      <c r="B128" s="87" t="s">
        <v>128</v>
      </c>
      <c r="C128" s="88">
        <v>70</v>
      </c>
      <c r="D128" s="89" t="s">
        <v>89</v>
      </c>
    </row>
    <row r="129" spans="2:4">
      <c r="B129" s="87" t="s">
        <v>129</v>
      </c>
      <c r="C129" s="88">
        <v>70</v>
      </c>
      <c r="D129" s="89" t="s">
        <v>97</v>
      </c>
    </row>
    <row r="130" spans="2:4">
      <c r="B130" s="87" t="s">
        <v>130</v>
      </c>
      <c r="C130" s="88">
        <v>60</v>
      </c>
      <c r="D130" s="89" t="s">
        <v>69</v>
      </c>
    </row>
    <row r="131" spans="2:4">
      <c r="B131" s="87" t="s">
        <v>131</v>
      </c>
      <c r="C131" s="88">
        <v>60</v>
      </c>
      <c r="D131" s="89" t="s">
        <v>80</v>
      </c>
    </row>
    <row r="132" spans="2:4">
      <c r="B132" s="87" t="s">
        <v>132</v>
      </c>
      <c r="C132" s="88">
        <v>60</v>
      </c>
      <c r="D132" s="89" t="s">
        <v>89</v>
      </c>
    </row>
    <row r="133" spans="2:4">
      <c r="B133" s="87" t="s">
        <v>133</v>
      </c>
      <c r="C133" s="88">
        <v>60</v>
      </c>
      <c r="D133" s="89" t="s">
        <v>97</v>
      </c>
    </row>
    <row r="134" spans="2:4">
      <c r="B134" s="87" t="s">
        <v>134</v>
      </c>
      <c r="C134" s="88">
        <v>50</v>
      </c>
      <c r="D134" s="89" t="s">
        <v>69</v>
      </c>
    </row>
    <row r="135" spans="2:4">
      <c r="B135" s="87" t="s">
        <v>135</v>
      </c>
      <c r="C135" s="88">
        <v>50</v>
      </c>
      <c r="D135" s="89" t="s">
        <v>80</v>
      </c>
    </row>
    <row r="136" spans="2:4">
      <c r="B136" s="87" t="s">
        <v>136</v>
      </c>
      <c r="C136" s="88">
        <v>50</v>
      </c>
      <c r="D136" s="89" t="s">
        <v>89</v>
      </c>
    </row>
    <row r="137" spans="2:4">
      <c r="B137" s="87" t="s">
        <v>137</v>
      </c>
      <c r="C137" s="88">
        <v>50</v>
      </c>
      <c r="D137" s="89" t="s">
        <v>97</v>
      </c>
    </row>
    <row r="138" spans="2:4">
      <c r="B138" s="91" t="s">
        <v>138</v>
      </c>
      <c r="C138" s="91"/>
      <c r="D138" s="92"/>
    </row>
    <row r="139" spans="2:4">
      <c r="B139" s="91" t="s">
        <v>139</v>
      </c>
      <c r="C139" s="91"/>
      <c r="D139" s="92"/>
    </row>
    <row r="140" spans="2:4">
      <c r="B140" s="91" t="s">
        <v>140</v>
      </c>
      <c r="C140" s="91"/>
      <c r="D140" s="92"/>
    </row>
    <row r="141" spans="2:4">
      <c r="B141" s="91" t="s">
        <v>141</v>
      </c>
      <c r="C141" s="91"/>
      <c r="D141" s="92"/>
    </row>
    <row r="142" spans="2:4">
      <c r="B142" s="91" t="s">
        <v>273</v>
      </c>
      <c r="C142" s="91"/>
      <c r="D142" s="92"/>
    </row>
    <row r="143" spans="2:4">
      <c r="B143" s="91" t="s">
        <v>274</v>
      </c>
      <c r="C143" s="91"/>
      <c r="D143" s="92"/>
    </row>
  </sheetData>
  <mergeCells count="10">
    <mergeCell ref="O80:P80"/>
    <mergeCell ref="O93:P93"/>
    <mergeCell ref="S80:T80"/>
    <mergeCell ref="Q80:R80"/>
    <mergeCell ref="Q79:T79"/>
    <mergeCell ref="Q78:T78"/>
    <mergeCell ref="Q91:T91"/>
    <mergeCell ref="Q92:T92"/>
    <mergeCell ref="Q93:R93"/>
    <mergeCell ref="S93:T93"/>
  </mergeCells>
  <conditionalFormatting sqref="O26">
    <cfRule type="expression" dxfId="0" priority="1">
      <formula>"Als($B$15&gt;$B$20"</formula>
    </cfRule>
  </conditionalFormatting>
  <dataValidations count="1">
    <dataValidation type="list" allowBlank="1" showInputMessage="1" showErrorMessage="1" sqref="S9">
      <formula1>lst_Qref</formula1>
    </dataValidation>
  </dataValidation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AQ143"/>
  <sheetViews>
    <sheetView showGridLines="0" zoomScale="90" zoomScaleNormal="90" workbookViewId="0"/>
  </sheetViews>
  <sheetFormatPr defaultRowHeight="12.75"/>
  <cols>
    <col min="1" max="1" width="1.7109375" style="2" customWidth="1"/>
    <col min="2" max="2" width="34.5703125" style="2" customWidth="1"/>
    <col min="3" max="4" width="4.7109375" style="2" customWidth="1"/>
    <col min="5" max="7" width="8.42578125" style="2" customWidth="1"/>
    <col min="8" max="8" width="9.28515625" style="2" customWidth="1"/>
    <col min="9" max="9" width="3.42578125" style="2" customWidth="1"/>
    <col min="10" max="11" width="3.28515625" style="2" customWidth="1"/>
    <col min="12" max="12" width="6.7109375" style="2" bestFit="1" customWidth="1"/>
    <col min="13" max="13" width="2" style="2" bestFit="1" customWidth="1"/>
    <col min="14" max="14" width="6.7109375" style="2" bestFit="1" customWidth="1"/>
    <col min="15" max="15" width="2.28515625" style="2" bestFit="1" customWidth="1"/>
    <col min="16" max="16" width="8.85546875" style="2" bestFit="1" customWidth="1"/>
    <col min="17" max="17" width="2.28515625" style="2" bestFit="1" customWidth="1"/>
    <col min="18" max="18" width="6.7109375" style="2" bestFit="1" customWidth="1"/>
    <col min="19" max="19" width="2.28515625" style="2" bestFit="1" customWidth="1"/>
    <col min="20" max="20" width="9.140625" style="2" customWidth="1"/>
    <col min="21" max="21" width="2.85546875" style="2" customWidth="1"/>
    <col min="22" max="22" width="8.28515625" style="2" customWidth="1"/>
    <col min="23" max="23" width="3.85546875" style="4" bestFit="1" customWidth="1"/>
    <col min="24" max="24" width="6.7109375" style="2" bestFit="1" customWidth="1"/>
    <col min="25" max="25" width="3.42578125" style="4" customWidth="1"/>
    <col min="26" max="26" width="8.140625" style="2" customWidth="1"/>
    <col min="27" max="27" width="3.140625" style="4" customWidth="1"/>
    <col min="28" max="28" width="7.85546875" style="5" bestFit="1" customWidth="1"/>
    <col min="29" max="29" width="4.7109375" style="4" customWidth="1"/>
    <col min="30" max="30" width="4.7109375" style="3" customWidth="1"/>
    <col min="31" max="31" width="48.5703125" style="3" bestFit="1" customWidth="1"/>
    <col min="32" max="32" width="9.140625" style="3"/>
    <col min="33" max="33" width="7.28515625" style="2" bestFit="1" customWidth="1"/>
    <col min="34" max="16384" width="9.140625" style="2"/>
  </cols>
  <sheetData>
    <row r="1" spans="1:36" ht="15">
      <c r="A1" s="3"/>
      <c r="B1" s="225" t="s">
        <v>312</v>
      </c>
      <c r="C1" s="3"/>
      <c r="F1" s="3"/>
      <c r="G1" s="3"/>
      <c r="H1" s="3"/>
      <c r="J1" s="3" t="s">
        <v>13</v>
      </c>
      <c r="M1" s="3" t="s">
        <v>151</v>
      </c>
      <c r="O1" s="3"/>
      <c r="P1" s="3"/>
      <c r="Q1" s="3"/>
      <c r="R1" s="3"/>
      <c r="AB1" s="371">
        <v>41409</v>
      </c>
      <c r="AC1" s="372"/>
    </row>
    <row r="2" spans="1:36">
      <c r="A2" s="3"/>
      <c r="B2" s="3"/>
      <c r="C2" s="3"/>
      <c r="F2" s="3"/>
      <c r="G2" s="3"/>
      <c r="H2" s="3"/>
      <c r="J2" s="3" t="s">
        <v>15</v>
      </c>
      <c r="M2" s="3" t="s">
        <v>152</v>
      </c>
      <c r="O2" s="3"/>
      <c r="P2" s="3"/>
      <c r="Q2" s="3"/>
      <c r="R2" s="3"/>
      <c r="AC2" s="6" t="s">
        <v>17</v>
      </c>
    </row>
    <row r="3" spans="1:36">
      <c r="A3" s="3"/>
      <c r="B3" s="3"/>
      <c r="C3" s="3"/>
      <c r="F3" s="3"/>
      <c r="G3" s="3"/>
      <c r="H3" s="3"/>
      <c r="J3" s="3" t="s">
        <v>18</v>
      </c>
      <c r="M3" s="3" t="s">
        <v>153</v>
      </c>
      <c r="O3" s="3"/>
      <c r="P3" s="3"/>
      <c r="Q3" s="3"/>
      <c r="R3" s="3"/>
      <c r="AC3" s="7" t="s">
        <v>20</v>
      </c>
    </row>
    <row r="4" spans="1:36">
      <c r="A4" s="3"/>
      <c r="B4" s="8" t="s">
        <v>21</v>
      </c>
      <c r="C4" s="9"/>
      <c r="D4" s="10"/>
      <c r="E4" s="10"/>
      <c r="F4" s="9"/>
      <c r="G4" s="9"/>
      <c r="H4" s="9"/>
      <c r="J4" s="9" t="s">
        <v>22</v>
      </c>
      <c r="K4" s="10"/>
      <c r="L4" s="10"/>
      <c r="M4" s="9" t="s">
        <v>154</v>
      </c>
      <c r="N4" s="10"/>
      <c r="O4" s="10"/>
      <c r="P4" s="10"/>
      <c r="Q4" s="10"/>
      <c r="R4" s="10"/>
      <c r="S4" s="10"/>
      <c r="T4" s="10"/>
      <c r="U4" s="10"/>
      <c r="V4" s="10"/>
      <c r="W4" s="11"/>
      <c r="X4" s="10"/>
      <c r="Y4" s="11"/>
      <c r="Z4" s="10"/>
      <c r="AA4" s="11"/>
      <c r="AB4" s="12"/>
      <c r="AC4" s="13" t="s">
        <v>474</v>
      </c>
      <c r="AD4" s="96"/>
      <c r="AE4" s="386" t="s">
        <v>25</v>
      </c>
      <c r="AF4" s="386"/>
      <c r="AG4" s="386"/>
      <c r="AH4" s="386"/>
      <c r="AI4" s="386"/>
      <c r="AJ4" s="386"/>
    </row>
    <row r="6" spans="1:36">
      <c r="A6" s="50"/>
      <c r="D6" s="50"/>
      <c r="E6" s="50"/>
      <c r="F6" s="50"/>
      <c r="G6" s="50"/>
      <c r="H6" s="50"/>
      <c r="I6" s="50"/>
      <c r="J6" s="50"/>
      <c r="K6" s="50"/>
      <c r="AD6" s="2"/>
      <c r="AE6" s="3" t="s">
        <v>442</v>
      </c>
      <c r="AG6" s="3"/>
      <c r="AH6" s="3"/>
    </row>
    <row r="7" spans="1:36">
      <c r="A7" s="50"/>
      <c r="B7" s="384" t="s">
        <v>438</v>
      </c>
      <c r="C7" s="385"/>
      <c r="D7" s="97"/>
      <c r="E7" s="15" t="s">
        <v>440</v>
      </c>
      <c r="F7" s="16"/>
      <c r="G7" s="16"/>
      <c r="H7" s="17"/>
      <c r="I7" s="97"/>
      <c r="J7" s="3"/>
      <c r="K7" s="3"/>
      <c r="L7" s="3"/>
      <c r="M7" s="3"/>
      <c r="N7" s="3"/>
      <c r="O7" s="3"/>
      <c r="P7" s="3"/>
      <c r="Q7" s="3"/>
      <c r="R7" s="3"/>
      <c r="S7" s="3"/>
      <c r="T7" s="3"/>
      <c r="U7" s="3"/>
      <c r="V7" s="3"/>
      <c r="W7" s="3"/>
      <c r="X7" s="3"/>
      <c r="Y7" s="3"/>
      <c r="Z7" s="3"/>
      <c r="AA7" s="3"/>
      <c r="AB7" s="3"/>
      <c r="AC7" s="3"/>
      <c r="AD7" s="2"/>
      <c r="AE7" s="3" t="s">
        <v>443</v>
      </c>
      <c r="AG7" s="3"/>
      <c r="AH7" s="3"/>
    </row>
    <row r="8" spans="1:36">
      <c r="A8" s="50"/>
      <c r="B8" s="350" t="s">
        <v>439</v>
      </c>
      <c r="C8" s="351"/>
      <c r="D8" s="18"/>
      <c r="E8" s="299" t="s">
        <v>441</v>
      </c>
      <c r="F8" s="18"/>
      <c r="G8" s="18"/>
      <c r="H8" s="19"/>
      <c r="I8" s="97"/>
      <c r="J8" s="3"/>
      <c r="K8" s="3"/>
      <c r="L8" s="3"/>
      <c r="M8" s="3"/>
      <c r="N8" s="3"/>
      <c r="O8" s="3"/>
      <c r="P8" s="3"/>
      <c r="Q8" s="3"/>
      <c r="R8" s="3"/>
      <c r="S8" s="3"/>
      <c r="T8" s="3"/>
      <c r="U8" s="3"/>
      <c r="V8" s="3"/>
      <c r="W8" s="3"/>
      <c r="X8" s="3"/>
      <c r="Y8" s="3"/>
      <c r="Z8" s="3"/>
      <c r="AA8" s="3"/>
      <c r="AB8" s="3"/>
      <c r="AC8" s="3"/>
      <c r="AD8" s="2"/>
      <c r="AG8" s="3"/>
      <c r="AH8" s="3"/>
      <c r="AI8" s="3"/>
    </row>
    <row r="9" spans="1:36">
      <c r="B9" s="97"/>
      <c r="C9" s="97"/>
      <c r="D9" s="97"/>
      <c r="E9" s="3"/>
      <c r="F9" s="3"/>
      <c r="G9" s="3"/>
      <c r="H9" s="97"/>
      <c r="I9" s="97"/>
      <c r="J9" s="50"/>
      <c r="K9" s="50"/>
      <c r="L9" s="50"/>
      <c r="M9" s="50"/>
      <c r="N9" s="50"/>
      <c r="O9" s="50"/>
      <c r="P9" s="50"/>
      <c r="Q9" s="50"/>
      <c r="R9" s="50"/>
      <c r="S9" s="50"/>
      <c r="T9" s="50"/>
      <c r="U9" s="50"/>
      <c r="V9" s="50"/>
      <c r="W9" s="98"/>
      <c r="X9" s="50"/>
      <c r="Y9" s="98"/>
      <c r="Z9" s="50"/>
      <c r="AA9" s="98"/>
      <c r="AB9" s="99"/>
      <c r="AC9" s="98"/>
      <c r="AD9" s="2"/>
      <c r="AE9" s="352" t="s">
        <v>431</v>
      </c>
      <c r="AG9" s="3"/>
      <c r="AH9" s="3"/>
      <c r="AI9" s="3"/>
    </row>
    <row r="10" spans="1:36">
      <c r="B10" s="387"/>
      <c r="C10" s="388"/>
      <c r="D10" s="18"/>
      <c r="E10" s="100"/>
      <c r="F10" s="18"/>
      <c r="G10" s="18"/>
      <c r="H10" s="18"/>
      <c r="I10" s="97"/>
      <c r="K10" s="50"/>
      <c r="L10" s="50"/>
      <c r="M10" s="50"/>
      <c r="N10" s="50"/>
      <c r="O10" s="50"/>
      <c r="P10" s="50"/>
      <c r="Q10" s="50"/>
      <c r="U10" s="98"/>
      <c r="Y10" s="2"/>
      <c r="AD10" s="2"/>
      <c r="AE10" s="20" t="s">
        <v>27</v>
      </c>
      <c r="AG10" s="21"/>
      <c r="AH10" s="3"/>
      <c r="AI10" s="3"/>
    </row>
    <row r="11" spans="1:36" ht="15.75" thickBot="1">
      <c r="D11" s="30"/>
      <c r="E11" s="30"/>
      <c r="F11" s="30"/>
      <c r="G11" s="30"/>
      <c r="H11" s="30"/>
      <c r="J11" s="101"/>
      <c r="K11" s="102"/>
      <c r="L11" s="102"/>
      <c r="N11" s="103"/>
      <c r="AC11" s="104"/>
      <c r="AD11" s="2"/>
      <c r="AE11" s="20" t="s">
        <v>28</v>
      </c>
      <c r="AG11" s="22"/>
      <c r="AH11" s="3" t="s">
        <v>29</v>
      </c>
      <c r="AI11" s="3"/>
    </row>
    <row r="12" spans="1:36" ht="15.75">
      <c r="B12" s="29" t="s">
        <v>155</v>
      </c>
      <c r="C12" s="30"/>
      <c r="D12" s="105"/>
      <c r="E12" s="30"/>
      <c r="F12" s="30"/>
      <c r="G12" s="65" t="s">
        <v>156</v>
      </c>
      <c r="H12" s="31" t="s">
        <v>157</v>
      </c>
      <c r="J12" s="106"/>
      <c r="K12" s="107"/>
      <c r="L12" s="107"/>
      <c r="M12" s="107"/>
      <c r="N12" s="107"/>
      <c r="O12" s="107"/>
      <c r="P12" s="107"/>
      <c r="Q12" s="107"/>
      <c r="R12" s="107"/>
      <c r="S12" s="107"/>
      <c r="T12" s="107"/>
      <c r="U12" s="107"/>
      <c r="V12" s="107"/>
      <c r="W12" s="108"/>
      <c r="X12" s="107"/>
      <c r="Y12" s="108"/>
      <c r="Z12" s="107"/>
      <c r="AA12" s="108"/>
      <c r="AB12" s="109" t="s">
        <v>33</v>
      </c>
      <c r="AC12" s="110"/>
      <c r="AD12" s="2"/>
      <c r="AE12" s="26" t="s">
        <v>30</v>
      </c>
      <c r="AF12" s="27"/>
      <c r="AG12" s="28"/>
      <c r="AH12" s="3" t="s">
        <v>29</v>
      </c>
      <c r="AI12" s="3"/>
    </row>
    <row r="13" spans="1:36">
      <c r="B13" s="380" t="s">
        <v>221</v>
      </c>
      <c r="C13" s="381"/>
      <c r="D13" s="111"/>
      <c r="E13" s="37"/>
      <c r="F13" s="37"/>
      <c r="G13" s="112">
        <f>VLOOKUP(B13,dbf_Boilers,2,FALSE)</f>
        <v>30</v>
      </c>
      <c r="H13" s="113">
        <f>VLOOKUP($B$13,dbf_Boilers,3,FALSE)</f>
        <v>97</v>
      </c>
      <c r="I13" s="40" t="s">
        <v>36</v>
      </c>
      <c r="J13" s="114"/>
      <c r="K13" s="50" t="s">
        <v>159</v>
      </c>
      <c r="L13" s="50"/>
      <c r="M13" s="50"/>
      <c r="N13" s="50"/>
      <c r="O13" s="50"/>
      <c r="P13" s="50"/>
      <c r="Q13" s="50"/>
      <c r="R13" s="50"/>
      <c r="S13" s="50"/>
      <c r="T13" s="50"/>
      <c r="U13" s="50"/>
      <c r="V13" s="50"/>
      <c r="W13" s="115"/>
      <c r="X13" s="116"/>
      <c r="Y13" s="115"/>
      <c r="Z13" s="50"/>
      <c r="AA13" s="117" t="s">
        <v>38</v>
      </c>
      <c r="AB13" s="118">
        <f>H13</f>
        <v>97</v>
      </c>
      <c r="AC13" s="119" t="s">
        <v>39</v>
      </c>
      <c r="AD13" s="2"/>
      <c r="AE13" s="26" t="s">
        <v>34</v>
      </c>
      <c r="AF13" s="27"/>
      <c r="AG13" s="36"/>
      <c r="AH13" s="3" t="s">
        <v>29</v>
      </c>
      <c r="AI13" s="3"/>
    </row>
    <row r="14" spans="1:36">
      <c r="B14" s="55"/>
      <c r="C14" s="55"/>
      <c r="D14" s="55"/>
      <c r="E14" s="55"/>
      <c r="F14" s="55"/>
      <c r="G14" s="30"/>
      <c r="H14" s="30"/>
      <c r="I14" s="120"/>
      <c r="J14" s="114"/>
      <c r="K14" s="121"/>
      <c r="L14" s="121"/>
      <c r="M14" s="121"/>
      <c r="N14" s="121"/>
      <c r="O14" s="121"/>
      <c r="P14" s="121"/>
      <c r="Q14" s="121"/>
      <c r="R14" s="121"/>
      <c r="S14" s="121"/>
      <c r="T14" s="121"/>
      <c r="U14" s="121"/>
      <c r="V14" s="121"/>
      <c r="W14" s="122"/>
      <c r="X14" s="121"/>
      <c r="Y14" s="122"/>
      <c r="Z14" s="121"/>
      <c r="AA14" s="123"/>
      <c r="AB14" s="124"/>
      <c r="AC14" s="119"/>
      <c r="AD14" s="2"/>
      <c r="AE14" s="20" t="s">
        <v>40</v>
      </c>
      <c r="AF14" s="27"/>
      <c r="AG14" s="44"/>
      <c r="AH14" s="3" t="s">
        <v>29</v>
      </c>
      <c r="AI14" s="3"/>
    </row>
    <row r="15" spans="1:36">
      <c r="I15" s="125"/>
      <c r="J15" s="114"/>
      <c r="K15" s="50"/>
      <c r="L15" s="50"/>
      <c r="M15" s="50"/>
      <c r="N15" s="50"/>
      <c r="O15" s="50"/>
      <c r="P15" s="50"/>
      <c r="Q15" s="50"/>
      <c r="R15" s="50"/>
      <c r="S15" s="50"/>
      <c r="T15" s="50"/>
      <c r="U15" s="50"/>
      <c r="V15" s="50"/>
      <c r="W15" s="98"/>
      <c r="X15" s="50"/>
      <c r="Y15" s="98"/>
      <c r="Z15" s="50"/>
      <c r="AA15" s="117"/>
      <c r="AB15" s="99"/>
      <c r="AC15" s="119"/>
      <c r="AD15" s="2"/>
      <c r="AE15" s="2"/>
      <c r="AF15" s="2"/>
      <c r="AI15" s="3"/>
    </row>
    <row r="16" spans="1:36">
      <c r="B16" s="54" t="s">
        <v>160</v>
      </c>
      <c r="C16" s="55"/>
      <c r="D16" s="55"/>
      <c r="E16" s="55"/>
      <c r="F16" s="55"/>
      <c r="G16" s="55"/>
      <c r="H16" s="65" t="s">
        <v>58</v>
      </c>
      <c r="I16" s="120"/>
      <c r="J16" s="114"/>
      <c r="K16" s="50"/>
      <c r="L16" s="50"/>
      <c r="M16" s="50"/>
      <c r="N16" s="50"/>
      <c r="O16" s="50"/>
      <c r="P16" s="50"/>
      <c r="Q16" s="50"/>
      <c r="R16" s="50"/>
      <c r="S16" s="50"/>
      <c r="T16" s="50"/>
      <c r="U16" s="50"/>
      <c r="V16" s="50"/>
      <c r="W16" s="98"/>
      <c r="X16" s="50"/>
      <c r="Y16" s="98"/>
      <c r="Z16" s="50"/>
      <c r="AA16" s="98"/>
      <c r="AB16" s="126" t="s">
        <v>50</v>
      </c>
      <c r="AC16" s="119"/>
      <c r="AD16" s="2"/>
      <c r="AE16" s="2"/>
      <c r="AF16" s="2"/>
      <c r="AI16" s="3"/>
    </row>
    <row r="17" spans="1:43" ht="15">
      <c r="B17" s="380" t="s">
        <v>169</v>
      </c>
      <c r="C17" s="381"/>
      <c r="D17" s="111"/>
      <c r="E17" s="37"/>
      <c r="F17" s="37"/>
      <c r="G17" s="37"/>
      <c r="H17" s="127" t="str">
        <f>VLOOKUP(B17,dbf_Ctrl,2,FALSE)</f>
        <v>None</v>
      </c>
      <c r="I17" s="40" t="s">
        <v>36</v>
      </c>
      <c r="J17" s="114"/>
      <c r="K17" s="50" t="s">
        <v>162</v>
      </c>
      <c r="L17" s="50"/>
      <c r="M17" s="50"/>
      <c r="N17" s="50"/>
      <c r="O17" s="50"/>
      <c r="P17" s="50"/>
      <c r="Q17" s="50"/>
      <c r="R17" s="50"/>
      <c r="S17" s="50"/>
      <c r="T17" s="50"/>
      <c r="U17" s="50"/>
      <c r="V17" s="50"/>
      <c r="W17" s="98"/>
      <c r="X17" s="50"/>
      <c r="Y17" s="128" t="s">
        <v>163</v>
      </c>
      <c r="Z17" s="129"/>
      <c r="AA17" s="117"/>
      <c r="AB17" s="130">
        <f>VLOOKUP(B17,dbf_Ctrl,3,FALSE)</f>
        <v>0</v>
      </c>
      <c r="AC17" s="119" t="s">
        <v>39</v>
      </c>
      <c r="AD17" s="2"/>
      <c r="AE17"/>
      <c r="AF17" s="2"/>
    </row>
    <row r="18" spans="1:43" s="50" customFormat="1" ht="15">
      <c r="A18" s="2"/>
      <c r="B18" s="55"/>
      <c r="C18" s="55"/>
      <c r="D18" s="55"/>
      <c r="E18" s="55"/>
      <c r="F18" s="55"/>
      <c r="G18" s="55"/>
      <c r="H18" s="55"/>
      <c r="I18" s="131"/>
      <c r="J18" s="114"/>
      <c r="K18" s="121"/>
      <c r="L18" s="121"/>
      <c r="M18" s="121"/>
      <c r="N18" s="121"/>
      <c r="O18" s="121"/>
      <c r="P18" s="121"/>
      <c r="Q18" s="121"/>
      <c r="R18" s="121"/>
      <c r="S18" s="121"/>
      <c r="T18" s="121"/>
      <c r="U18" s="121"/>
      <c r="V18" s="121"/>
      <c r="W18" s="122"/>
      <c r="X18" s="121"/>
      <c r="Y18" s="122"/>
      <c r="Z18" s="121"/>
      <c r="AA18" s="122"/>
      <c r="AB18" s="124"/>
      <c r="AC18" s="119"/>
      <c r="AE18"/>
      <c r="AQ18" s="50" t="s">
        <v>164</v>
      </c>
    </row>
    <row r="19" spans="1:43" ht="15">
      <c r="B19" s="55"/>
      <c r="C19" s="55"/>
      <c r="D19" s="55"/>
      <c r="E19" s="55"/>
      <c r="F19" s="55"/>
      <c r="G19" s="55"/>
      <c r="H19" s="55"/>
      <c r="I19" s="120"/>
      <c r="J19" s="114"/>
      <c r="K19" s="50"/>
      <c r="L19" s="50"/>
      <c r="M19" s="50"/>
      <c r="N19" s="50"/>
      <c r="O19" s="50"/>
      <c r="P19" s="50"/>
      <c r="Q19" s="50"/>
      <c r="R19" s="50"/>
      <c r="S19" s="50"/>
      <c r="T19" s="50"/>
      <c r="U19" s="50"/>
      <c r="V19" s="50"/>
      <c r="W19" s="98"/>
      <c r="X19" s="50"/>
      <c r="Y19" s="98"/>
      <c r="Z19" s="50"/>
      <c r="AA19" s="98"/>
      <c r="AB19" s="99"/>
      <c r="AC19" s="119"/>
      <c r="AD19" s="2"/>
      <c r="AE19"/>
      <c r="AF19" s="2"/>
    </row>
    <row r="20" spans="1:43" ht="15.75">
      <c r="B20" s="29" t="s">
        <v>165</v>
      </c>
      <c r="C20" s="30"/>
      <c r="D20" s="55"/>
      <c r="E20" s="55"/>
      <c r="F20" s="55"/>
      <c r="G20" s="65" t="s">
        <v>156</v>
      </c>
      <c r="H20" s="31" t="s">
        <v>166</v>
      </c>
      <c r="I20" s="120"/>
      <c r="J20" s="114"/>
      <c r="K20" s="50" t="s">
        <v>167</v>
      </c>
      <c r="L20" s="50"/>
      <c r="M20" s="50"/>
      <c r="N20" s="50"/>
      <c r="O20" s="50"/>
      <c r="P20" s="50"/>
      <c r="Q20" s="50"/>
      <c r="R20" s="50"/>
      <c r="S20" s="50"/>
      <c r="T20" s="50"/>
      <c r="U20" s="50"/>
      <c r="V20" s="128" t="s">
        <v>168</v>
      </c>
      <c r="W20" s="98"/>
      <c r="X20" s="132" t="s">
        <v>38</v>
      </c>
      <c r="Y20" s="98"/>
      <c r="Z20" s="132"/>
      <c r="AA20" s="98"/>
      <c r="AB20" s="126" t="s">
        <v>55</v>
      </c>
      <c r="AC20" s="119"/>
      <c r="AD20" s="2"/>
      <c r="AE20"/>
      <c r="AF20" s="2"/>
    </row>
    <row r="21" spans="1:43" ht="15">
      <c r="B21" s="380" t="s">
        <v>169</v>
      </c>
      <c r="C21" s="381"/>
      <c r="D21" s="111"/>
      <c r="E21" s="37"/>
      <c r="F21" s="37"/>
      <c r="G21" s="112">
        <f>VLOOKUP(B21,dbf_Boilers,2,FALSE)</f>
        <v>0</v>
      </c>
      <c r="H21" s="133">
        <f>VLOOKUP(B21,dbf_Boilers,3,FALSE)</f>
        <v>0</v>
      </c>
      <c r="I21" s="40" t="s">
        <v>36</v>
      </c>
      <c r="J21" s="114"/>
      <c r="K21" s="134" t="s">
        <v>170</v>
      </c>
      <c r="L21" s="50"/>
      <c r="M21" s="50"/>
      <c r="N21" s="50"/>
      <c r="O21" s="50"/>
      <c r="P21" s="129"/>
      <c r="Q21" s="50"/>
      <c r="R21" s="50"/>
      <c r="S21" s="50"/>
      <c r="T21" s="50"/>
      <c r="U21" s="135" t="s">
        <v>51</v>
      </c>
      <c r="V21" s="136">
        <f>H21</f>
        <v>0</v>
      </c>
      <c r="W21" s="117" t="s">
        <v>52</v>
      </c>
      <c r="X21" s="118">
        <f>AB13</f>
        <v>97</v>
      </c>
      <c r="Y21" s="117" t="s">
        <v>53</v>
      </c>
      <c r="Z21" s="50">
        <v>0.1</v>
      </c>
      <c r="AA21" s="117" t="s">
        <v>54</v>
      </c>
      <c r="AB21" s="130">
        <f>IF(B21&lt;&gt;"None",(V21-X21)*Z21,0)</f>
        <v>0</v>
      </c>
      <c r="AC21" s="119" t="s">
        <v>39</v>
      </c>
      <c r="AD21" s="2"/>
      <c r="AE21"/>
      <c r="AF21" s="2"/>
    </row>
    <row r="22" spans="1:43" s="50" customFormat="1" ht="15">
      <c r="A22" s="2"/>
      <c r="B22" s="3"/>
      <c r="C22" s="3"/>
      <c r="E22" s="55"/>
      <c r="F22" s="55"/>
      <c r="G22" s="55"/>
      <c r="H22" s="55"/>
      <c r="I22" s="131"/>
      <c r="J22" s="114"/>
      <c r="K22" s="121"/>
      <c r="L22" s="121"/>
      <c r="M22" s="121"/>
      <c r="N22" s="121"/>
      <c r="O22" s="121"/>
      <c r="P22" s="121"/>
      <c r="Q22" s="121"/>
      <c r="R22" s="121"/>
      <c r="S22" s="121"/>
      <c r="T22" s="121"/>
      <c r="U22" s="121"/>
      <c r="V22" s="121"/>
      <c r="W22" s="122"/>
      <c r="X22" s="121"/>
      <c r="Y22" s="122"/>
      <c r="Z22" s="121"/>
      <c r="AA22" s="122"/>
      <c r="AB22" s="124"/>
      <c r="AC22" s="119"/>
      <c r="AE22"/>
    </row>
    <row r="23" spans="1:43" ht="15.75">
      <c r="B23" s="54" t="s">
        <v>171</v>
      </c>
      <c r="C23" s="55"/>
      <c r="D23" s="55"/>
      <c r="G23" s="65" t="s">
        <v>172</v>
      </c>
      <c r="H23" s="65" t="s">
        <v>173</v>
      </c>
      <c r="I23" s="120"/>
      <c r="J23" s="114"/>
      <c r="K23" s="50"/>
      <c r="L23" s="50"/>
      <c r="M23" s="50"/>
      <c r="N23" s="50"/>
      <c r="O23" s="50"/>
      <c r="P23" s="50"/>
      <c r="Q23" s="50"/>
      <c r="R23" s="50"/>
      <c r="S23" s="50"/>
      <c r="T23" s="50"/>
      <c r="U23" s="50"/>
      <c r="V23" s="50"/>
      <c r="W23" s="98"/>
      <c r="X23" s="50"/>
      <c r="Y23" s="98"/>
      <c r="Z23" s="50"/>
      <c r="AA23" s="98"/>
      <c r="AB23" s="99"/>
      <c r="AC23" s="119"/>
      <c r="AD23" s="2"/>
      <c r="AF23" s="2"/>
    </row>
    <row r="24" spans="1:43">
      <c r="B24" s="380" t="s">
        <v>174</v>
      </c>
      <c r="C24" s="381"/>
      <c r="D24" s="111"/>
      <c r="E24" s="38"/>
      <c r="F24" s="38"/>
      <c r="G24" s="39">
        <f>VLOOKUP(B24,dbf_SolCol,2,FALSE)</f>
        <v>10</v>
      </c>
      <c r="H24" s="39">
        <f>VLOOKUP($B$24,dbf_SolCol,3,FALSE)</f>
        <v>70</v>
      </c>
      <c r="I24" s="40" t="s">
        <v>36</v>
      </c>
      <c r="J24" s="114"/>
      <c r="K24" s="50" t="s">
        <v>175</v>
      </c>
      <c r="L24" s="50"/>
      <c r="M24" s="50"/>
      <c r="N24" s="50"/>
      <c r="O24" s="50"/>
      <c r="P24" s="50"/>
      <c r="Q24" s="50"/>
      <c r="R24" s="50"/>
      <c r="S24" s="50"/>
      <c r="T24" s="50"/>
      <c r="U24" s="50"/>
      <c r="V24" s="50"/>
      <c r="W24" s="98"/>
      <c r="X24" s="50"/>
      <c r="Y24" s="98"/>
      <c r="Z24" s="50"/>
      <c r="AA24" s="98"/>
      <c r="AB24" s="99"/>
      <c r="AC24" s="119"/>
      <c r="AD24" s="2"/>
      <c r="AF24" s="2"/>
    </row>
    <row r="25" spans="1:43" ht="15.75">
      <c r="B25" s="54" t="s">
        <v>176</v>
      </c>
      <c r="C25" s="55"/>
      <c r="D25" s="55"/>
      <c r="E25" s="30"/>
      <c r="F25" s="30"/>
      <c r="G25" s="65" t="s">
        <v>177</v>
      </c>
      <c r="H25" s="65" t="s">
        <v>178</v>
      </c>
      <c r="I25" s="120"/>
      <c r="J25" s="114"/>
      <c r="K25" s="50"/>
      <c r="L25" s="50"/>
      <c r="M25" s="50"/>
      <c r="N25" s="137" t="s">
        <v>179</v>
      </c>
      <c r="O25" s="137"/>
      <c r="P25" s="137" t="s">
        <v>180</v>
      </c>
      <c r="Q25" s="137"/>
      <c r="R25" s="137" t="s">
        <v>181</v>
      </c>
      <c r="S25" s="137"/>
      <c r="T25" s="137" t="s">
        <v>182</v>
      </c>
      <c r="U25" s="137"/>
      <c r="V25" s="137"/>
      <c r="W25" s="137"/>
      <c r="X25" s="137" t="s">
        <v>183</v>
      </c>
      <c r="Y25" s="98"/>
      <c r="Z25" s="137" t="s">
        <v>184</v>
      </c>
      <c r="AA25" s="98"/>
      <c r="AB25" s="126" t="s">
        <v>185</v>
      </c>
      <c r="AC25" s="138"/>
      <c r="AD25" s="2"/>
      <c r="AF25" s="2"/>
    </row>
    <row r="26" spans="1:43">
      <c r="B26" s="380" t="s">
        <v>186</v>
      </c>
      <c r="C26" s="382"/>
      <c r="D26" s="37"/>
      <c r="E26" s="37"/>
      <c r="F26" s="37"/>
      <c r="G26" s="39">
        <f>VLOOKUP(B26,dbf_HWST,2,FALSE)/1000</f>
        <v>0.5</v>
      </c>
      <c r="H26" s="39" t="str">
        <f>VLOOKUP(B26,dbf_HWST,3,FALSE)</f>
        <v>C</v>
      </c>
      <c r="I26" s="40" t="s">
        <v>36</v>
      </c>
      <c r="J26" s="114"/>
      <c r="K26" s="50"/>
      <c r="L26" s="50"/>
      <c r="M26" s="132" t="s">
        <v>51</v>
      </c>
      <c r="N26" s="139">
        <f>294/(11*G13)</f>
        <v>0.89090909090909087</v>
      </c>
      <c r="O26" s="140" t="s">
        <v>7</v>
      </c>
      <c r="P26" s="141">
        <f>G24</f>
        <v>10</v>
      </c>
      <c r="Q26" s="140" t="s">
        <v>115</v>
      </c>
      <c r="R26" s="139">
        <f>115/(11*G13)</f>
        <v>0.34848484848484851</v>
      </c>
      <c r="S26" s="142" t="s">
        <v>7</v>
      </c>
      <c r="T26" s="136">
        <f>G26</f>
        <v>0.5</v>
      </c>
      <c r="U26" s="142" t="s">
        <v>53</v>
      </c>
      <c r="V26" s="55">
        <v>0.9</v>
      </c>
      <c r="W26" s="142" t="s">
        <v>7</v>
      </c>
      <c r="X26" s="141">
        <f>H24/100</f>
        <v>0.7</v>
      </c>
      <c r="Y26" s="140" t="s">
        <v>7</v>
      </c>
      <c r="Z26" s="143">
        <f>VLOOKUP(H26,dbf_Tankrating,2,FALSE)</f>
        <v>0.83</v>
      </c>
      <c r="AA26" s="140" t="s">
        <v>54</v>
      </c>
      <c r="AB26" s="130">
        <f>IF(B24&lt;&gt;"None",(N26*P26+R26*T26)*V26*X26*Z26,0)</f>
        <v>4.749674999999999</v>
      </c>
      <c r="AC26" s="119" t="s">
        <v>39</v>
      </c>
      <c r="AD26" s="2"/>
    </row>
    <row r="27" spans="1:43">
      <c r="J27" s="114"/>
      <c r="K27" s="121"/>
      <c r="L27" s="121"/>
      <c r="M27" s="121"/>
      <c r="N27" s="121"/>
      <c r="O27" s="121"/>
      <c r="P27" s="121"/>
      <c r="Q27" s="121"/>
      <c r="R27" s="121"/>
      <c r="S27" s="121"/>
      <c r="T27" s="121"/>
      <c r="U27" s="121"/>
      <c r="V27" s="121"/>
      <c r="W27" s="122"/>
      <c r="X27" s="121"/>
      <c r="Y27" s="122"/>
      <c r="Z27" s="121"/>
      <c r="AA27" s="122"/>
      <c r="AB27" s="124"/>
      <c r="AC27" s="119"/>
      <c r="AD27" s="2"/>
    </row>
    <row r="28" spans="1:43">
      <c r="J28" s="114"/>
      <c r="K28" s="50"/>
      <c r="L28" s="50"/>
      <c r="M28" s="50"/>
      <c r="N28" s="50"/>
      <c r="O28" s="50"/>
      <c r="P28" s="50"/>
      <c r="Q28" s="50"/>
      <c r="R28" s="50"/>
      <c r="S28" s="50"/>
      <c r="T28" s="50"/>
      <c r="U28" s="50"/>
      <c r="V28" s="50"/>
      <c r="W28" s="98"/>
      <c r="X28" s="50"/>
      <c r="Y28" s="98"/>
      <c r="Z28" s="50"/>
      <c r="AA28" s="98"/>
      <c r="AB28" s="99"/>
      <c r="AC28" s="119"/>
      <c r="AD28" s="2"/>
    </row>
    <row r="29" spans="1:43" ht="15.75">
      <c r="B29" s="54" t="s">
        <v>187</v>
      </c>
      <c r="C29" s="94"/>
      <c r="D29" s="55"/>
      <c r="G29" s="65" t="s">
        <v>188</v>
      </c>
      <c r="H29" s="31" t="s">
        <v>189</v>
      </c>
      <c r="I29" s="125"/>
      <c r="J29" s="114"/>
      <c r="K29" s="50" t="s">
        <v>190</v>
      </c>
      <c r="L29" s="50"/>
      <c r="M29" s="50"/>
      <c r="N29" s="50"/>
      <c r="O29" s="50"/>
      <c r="P29" s="50"/>
      <c r="Q29" s="50"/>
      <c r="R29" s="50"/>
      <c r="S29" s="50"/>
      <c r="T29" s="50"/>
      <c r="U29" s="50"/>
      <c r="V29" s="50"/>
      <c r="W29" s="98"/>
      <c r="X29" s="50"/>
      <c r="Y29" s="98"/>
      <c r="Z29" s="50"/>
      <c r="AA29" s="98"/>
      <c r="AB29" s="99"/>
      <c r="AC29" s="119"/>
      <c r="AD29" s="2"/>
    </row>
    <row r="30" spans="1:43">
      <c r="B30" s="380" t="s">
        <v>251</v>
      </c>
      <c r="C30" s="383"/>
      <c r="D30" s="38"/>
      <c r="E30" s="38"/>
      <c r="F30" s="38"/>
      <c r="G30" s="39">
        <f>VLOOKUP(B30,dbf_HeatPump,2,FALSE)</f>
        <v>15</v>
      </c>
      <c r="H30" s="39">
        <f>VLOOKUP(B30,dbf_HeatPump,3,FALSE)</f>
        <v>140</v>
      </c>
      <c r="I30" s="40" t="s">
        <v>36</v>
      </c>
      <c r="J30" s="114"/>
      <c r="K30" s="134" t="s">
        <v>191</v>
      </c>
      <c r="L30" s="50"/>
      <c r="M30" s="50"/>
      <c r="N30" s="50"/>
      <c r="O30" s="50"/>
      <c r="P30" s="50"/>
      <c r="Q30" s="50"/>
      <c r="R30" s="50"/>
      <c r="S30" s="50"/>
      <c r="T30" s="50"/>
      <c r="U30" s="50"/>
      <c r="V30" s="128" t="s">
        <v>168</v>
      </c>
      <c r="W30" s="50"/>
      <c r="X30" s="132" t="s">
        <v>38</v>
      </c>
      <c r="Y30" s="50"/>
      <c r="Z30" s="132" t="s">
        <v>192</v>
      </c>
      <c r="AA30" s="98"/>
      <c r="AB30" s="126" t="s">
        <v>193</v>
      </c>
      <c r="AC30" s="119"/>
      <c r="AD30" s="2"/>
      <c r="AE30" s="2"/>
      <c r="AF30" s="2"/>
    </row>
    <row r="31" spans="1:43" s="50" customFormat="1">
      <c r="A31" s="2"/>
      <c r="B31" s="65" t="s">
        <v>194</v>
      </c>
      <c r="C31" s="144" t="s">
        <v>259</v>
      </c>
      <c r="D31" s="55"/>
      <c r="E31" s="55"/>
      <c r="F31" s="30"/>
      <c r="G31" s="30"/>
      <c r="H31" s="30"/>
      <c r="J31" s="114"/>
      <c r="O31" s="135"/>
      <c r="U31" s="50" t="s">
        <v>51</v>
      </c>
      <c r="V31" s="136">
        <f>H30</f>
        <v>140</v>
      </c>
      <c r="W31" s="135" t="s">
        <v>52</v>
      </c>
      <c r="X31" s="118">
        <f>AB13</f>
        <v>97</v>
      </c>
      <c r="Y31" s="135" t="s">
        <v>53</v>
      </c>
      <c r="Z31" s="213">
        <f>G30/(G30+G13)*VLOOKUP(G30/(G30+G13),Tbl5_SH_Ext,IF(C31="Yes",6,4),-1)+VLOOKUP(G30/(G30+G13),Tbl5_SH_Ext,IF(C31="Yes",7,5),TRUE)</f>
        <v>0.78333333333333321</v>
      </c>
      <c r="AA31" s="117" t="s">
        <v>54</v>
      </c>
      <c r="AB31" s="130">
        <f>IF(B30&lt;&gt;"None",(V31-X31)*Z31,0)</f>
        <v>33.68333333333333</v>
      </c>
      <c r="AC31" s="119" t="s">
        <v>39</v>
      </c>
      <c r="AG31" s="2"/>
    </row>
    <row r="32" spans="1:43" s="50" customFormat="1">
      <c r="B32" s="65" t="s">
        <v>196</v>
      </c>
      <c r="C32" s="144" t="s">
        <v>195</v>
      </c>
      <c r="D32" s="55"/>
      <c r="E32" s="55"/>
      <c r="F32" s="30"/>
      <c r="G32" s="55"/>
      <c r="H32" s="55"/>
      <c r="J32" s="114"/>
      <c r="K32" s="121"/>
      <c r="L32" s="121"/>
      <c r="M32" s="121"/>
      <c r="N32" s="121"/>
      <c r="O32" s="145"/>
      <c r="P32" s="121"/>
      <c r="Q32" s="121"/>
      <c r="R32" s="121"/>
      <c r="S32" s="145"/>
      <c r="T32" s="121"/>
      <c r="U32" s="145"/>
      <c r="V32" s="121"/>
      <c r="W32" s="123"/>
      <c r="X32" s="121"/>
      <c r="Y32" s="122"/>
      <c r="Z32" s="121"/>
      <c r="AA32" s="123"/>
      <c r="AB32" s="124"/>
      <c r="AC32" s="119"/>
      <c r="AG32" s="2"/>
    </row>
    <row r="33" spans="2:35">
      <c r="B33" s="50"/>
      <c r="C33" s="50"/>
      <c r="D33" s="50"/>
      <c r="E33" s="50"/>
      <c r="F33" s="50"/>
      <c r="G33" s="50"/>
      <c r="H33" s="50"/>
      <c r="J33" s="114"/>
      <c r="K33" s="50"/>
      <c r="L33" s="50"/>
      <c r="M33" s="50"/>
      <c r="N33" s="50"/>
      <c r="O33" s="135"/>
      <c r="P33" s="50"/>
      <c r="Q33" s="50"/>
      <c r="R33" s="50"/>
      <c r="S33" s="135"/>
      <c r="T33" s="50"/>
      <c r="U33" s="135"/>
      <c r="V33" s="50"/>
      <c r="W33" s="117"/>
      <c r="X33" s="50"/>
      <c r="Y33" s="98"/>
      <c r="Z33" s="50"/>
      <c r="AA33" s="117"/>
      <c r="AB33" s="99"/>
      <c r="AC33" s="119"/>
      <c r="AD33" s="2"/>
      <c r="AF33" s="2"/>
    </row>
    <row r="34" spans="2:35">
      <c r="J34" s="114"/>
      <c r="K34" s="50" t="s">
        <v>197</v>
      </c>
      <c r="L34" s="50"/>
      <c r="M34" s="50"/>
      <c r="N34" s="50"/>
      <c r="O34" s="135"/>
      <c r="P34" s="50"/>
      <c r="Q34" s="50"/>
      <c r="R34" s="50"/>
      <c r="S34" s="135"/>
      <c r="T34" s="50"/>
      <c r="U34" s="117"/>
      <c r="V34" s="146" t="s">
        <v>185</v>
      </c>
      <c r="W34" s="98"/>
      <c r="X34" s="50"/>
      <c r="Y34" s="98"/>
      <c r="Z34" s="146" t="s">
        <v>193</v>
      </c>
      <c r="AA34" s="98"/>
      <c r="AB34" s="126" t="s">
        <v>198</v>
      </c>
      <c r="AC34" s="119"/>
      <c r="AD34" s="2"/>
      <c r="AF34" s="2"/>
    </row>
    <row r="35" spans="2:35">
      <c r="J35" s="114"/>
      <c r="K35" s="134" t="s">
        <v>199</v>
      </c>
      <c r="L35" s="50"/>
      <c r="M35" s="50"/>
      <c r="N35" s="50"/>
      <c r="O35" s="135"/>
      <c r="P35" s="50"/>
      <c r="Q35" s="50"/>
      <c r="R35" s="50"/>
      <c r="S35" s="135"/>
      <c r="T35" s="50">
        <v>0.5</v>
      </c>
      <c r="U35" s="117" t="s">
        <v>7</v>
      </c>
      <c r="V35" s="130">
        <f>AB26</f>
        <v>4.749674999999999</v>
      </c>
      <c r="W35" s="98" t="s">
        <v>200</v>
      </c>
      <c r="X35" s="50">
        <v>0.5</v>
      </c>
      <c r="Y35" s="98" t="s">
        <v>7</v>
      </c>
      <c r="Z35" s="130">
        <f>AB31</f>
        <v>33.68333333333333</v>
      </c>
      <c r="AA35" s="117"/>
      <c r="AB35" s="130">
        <f>-1*IF(V35&lt;Z35,T35*V35,X35*Z35)</f>
        <v>-2.3748374999999995</v>
      </c>
      <c r="AC35" s="119" t="s">
        <v>39</v>
      </c>
      <c r="AD35" s="2"/>
      <c r="AF35" s="2"/>
    </row>
    <row r="36" spans="2:35" ht="13.5" thickBot="1">
      <c r="J36" s="114"/>
      <c r="K36" s="121"/>
      <c r="L36" s="121"/>
      <c r="M36" s="121"/>
      <c r="N36" s="121"/>
      <c r="O36" s="145"/>
      <c r="P36" s="121"/>
      <c r="Q36" s="121"/>
      <c r="R36" s="121"/>
      <c r="S36" s="145"/>
      <c r="T36" s="121"/>
      <c r="U36" s="145"/>
      <c r="V36" s="121"/>
      <c r="W36" s="123"/>
      <c r="X36" s="121"/>
      <c r="Y36" s="122"/>
      <c r="Z36" s="121"/>
      <c r="AA36" s="123"/>
      <c r="AB36" s="147"/>
      <c r="AC36" s="148" t="s">
        <v>115</v>
      </c>
      <c r="AD36" s="2"/>
      <c r="AF36" s="2"/>
    </row>
    <row r="37" spans="2:35" ht="15">
      <c r="G37"/>
      <c r="H37"/>
      <c r="I37"/>
      <c r="J37" s="114"/>
      <c r="K37" s="50"/>
      <c r="L37" s="50"/>
      <c r="M37" s="50"/>
      <c r="N37" s="50"/>
      <c r="O37" s="135"/>
      <c r="P37" s="50"/>
      <c r="Q37" s="50"/>
      <c r="R37" s="50"/>
      <c r="S37" s="135"/>
      <c r="T37" s="50"/>
      <c r="U37" s="135"/>
      <c r="V37" s="50"/>
      <c r="W37" s="117"/>
      <c r="X37" s="50"/>
      <c r="Y37" s="98"/>
      <c r="Z37" s="50"/>
      <c r="AA37" s="117"/>
      <c r="AB37" s="126" t="s">
        <v>201</v>
      </c>
      <c r="AC37" s="119"/>
      <c r="AD37" s="2"/>
      <c r="AF37" s="2"/>
      <c r="AG37" s="149"/>
    </row>
    <row r="38" spans="2:35">
      <c r="F38" s="55"/>
      <c r="G38" s="55"/>
      <c r="H38" s="55"/>
      <c r="I38" s="30"/>
      <c r="J38" s="114"/>
      <c r="K38" s="50" t="s">
        <v>202</v>
      </c>
      <c r="L38" s="50"/>
      <c r="M38" s="50"/>
      <c r="N38" s="50"/>
      <c r="O38" s="50"/>
      <c r="P38" s="50"/>
      <c r="Q38" s="50"/>
      <c r="R38" s="50"/>
      <c r="S38" s="50"/>
      <c r="T38" s="50"/>
      <c r="U38" s="50"/>
      <c r="V38" s="50"/>
      <c r="W38" s="98"/>
      <c r="X38" s="50"/>
      <c r="Y38" s="98"/>
      <c r="Z38" s="50"/>
      <c r="AA38" s="98"/>
      <c r="AB38" s="130">
        <f>SUM(AB13:AB35)</f>
        <v>133.05817083333332</v>
      </c>
      <c r="AC38" s="119" t="s">
        <v>39</v>
      </c>
      <c r="AD38" s="2"/>
      <c r="AF38" s="2"/>
    </row>
    <row r="39" spans="2:35">
      <c r="F39" s="55"/>
      <c r="G39" s="55"/>
      <c r="H39" s="55"/>
      <c r="I39" s="30"/>
      <c r="J39" s="114"/>
      <c r="K39" s="121"/>
      <c r="L39" s="121"/>
      <c r="M39" s="121"/>
      <c r="N39" s="121"/>
      <c r="O39" s="121"/>
      <c r="P39" s="121"/>
      <c r="Q39" s="121"/>
      <c r="R39" s="121"/>
      <c r="S39" s="121"/>
      <c r="T39" s="121"/>
      <c r="U39" s="121"/>
      <c r="V39" s="121"/>
      <c r="W39" s="122"/>
      <c r="X39" s="121"/>
      <c r="Y39" s="122"/>
      <c r="Z39" s="121"/>
      <c r="AA39" s="122"/>
      <c r="AB39" s="150"/>
      <c r="AC39" s="119"/>
      <c r="AD39" s="2"/>
      <c r="AF39" s="2"/>
      <c r="AG39" s="50"/>
    </row>
    <row r="40" spans="2:35">
      <c r="F40" s="55"/>
      <c r="G40" s="55"/>
      <c r="H40" s="50"/>
      <c r="I40" s="50"/>
      <c r="J40" s="114"/>
      <c r="K40" s="50"/>
      <c r="L40" s="50"/>
      <c r="M40" s="50"/>
      <c r="N40" s="50"/>
      <c r="O40" s="50"/>
      <c r="P40" s="50"/>
      <c r="Q40" s="50"/>
      <c r="R40" s="50"/>
      <c r="S40" s="50"/>
      <c r="T40" s="50"/>
      <c r="U40" s="50"/>
      <c r="V40" s="50"/>
      <c r="W40" s="98"/>
      <c r="X40" s="50"/>
      <c r="Y40" s="98"/>
      <c r="Z40" s="50"/>
      <c r="AA40" s="98"/>
      <c r="AB40" s="151"/>
      <c r="AC40" s="152"/>
      <c r="AD40" s="2"/>
      <c r="AF40" s="2"/>
    </row>
    <row r="41" spans="2:35">
      <c r="F41" s="55"/>
      <c r="G41" s="55"/>
      <c r="H41" s="50"/>
      <c r="I41" s="50"/>
      <c r="J41" s="114"/>
      <c r="K41" s="50" t="s">
        <v>203</v>
      </c>
      <c r="L41" s="50"/>
      <c r="M41" s="50"/>
      <c r="N41" s="50"/>
      <c r="O41" s="50"/>
      <c r="P41" s="50"/>
      <c r="Q41" s="50"/>
      <c r="R41" s="50"/>
      <c r="S41" s="50"/>
      <c r="T41" s="50"/>
      <c r="U41" s="50"/>
      <c r="V41" s="50"/>
      <c r="W41" s="98"/>
      <c r="X41" s="50"/>
      <c r="Y41" s="98"/>
      <c r="Z41" s="50"/>
      <c r="AA41" s="98"/>
      <c r="AB41" s="151"/>
      <c r="AC41" s="152"/>
      <c r="AD41" s="2"/>
      <c r="AF41" s="2"/>
    </row>
    <row r="42" spans="2:35">
      <c r="G42" s="65" t="s">
        <v>58</v>
      </c>
      <c r="H42" s="68" t="str">
        <f>LOOKUP(AB38,tbl1_S,tbl12_R)</f>
        <v>A++</v>
      </c>
      <c r="I42" s="30" t="s">
        <v>56</v>
      </c>
      <c r="J42" s="114"/>
      <c r="K42" s="50"/>
      <c r="L42" s="50"/>
      <c r="M42" s="50"/>
      <c r="N42" s="50"/>
      <c r="O42" s="50"/>
      <c r="P42" s="50"/>
      <c r="Q42" s="50"/>
      <c r="R42" s="50"/>
      <c r="S42" s="50"/>
      <c r="T42" s="50"/>
      <c r="U42" s="50"/>
      <c r="V42" s="50"/>
      <c r="W42" s="98"/>
      <c r="X42" s="50"/>
      <c r="Y42" s="98"/>
      <c r="Z42" s="50"/>
      <c r="AA42" s="98"/>
      <c r="AB42" s="99"/>
      <c r="AC42" s="119"/>
      <c r="AD42" s="2"/>
      <c r="AF42" s="2"/>
    </row>
    <row r="43" spans="2:35" ht="15.75">
      <c r="E43" s="3"/>
      <c r="F43" s="3"/>
      <c r="G43" s="3"/>
      <c r="J43" s="114"/>
      <c r="K43" s="50"/>
      <c r="L43" s="153" t="str">
        <f>IF($H$42=L44,"▼","")</f>
        <v/>
      </c>
      <c r="M43" s="154"/>
      <c r="N43" s="153" t="str">
        <f>IF($H$42=N44,"▼","")</f>
        <v/>
      </c>
      <c r="O43" s="154"/>
      <c r="P43" s="153" t="str">
        <f>IF($H$42=P44,"▼","")</f>
        <v/>
      </c>
      <c r="Q43" s="154"/>
      <c r="R43" s="153" t="str">
        <f>IF($H$42=R44,"▼","")</f>
        <v/>
      </c>
      <c r="S43" s="154"/>
      <c r="T43" s="153" t="str">
        <f>IF($H$42=T44,"▼","")</f>
        <v/>
      </c>
      <c r="U43" s="154"/>
      <c r="V43" s="153" t="str">
        <f>IF($H$42=V44,"▼","")</f>
        <v/>
      </c>
      <c r="W43" s="154"/>
      <c r="X43" s="153" t="str">
        <f>IF($H$42=X44,"▼","")</f>
        <v/>
      </c>
      <c r="Y43" s="154"/>
      <c r="Z43" s="153" t="str">
        <f>IF($H$42=Z44,"▼","")</f>
        <v>▼</v>
      </c>
      <c r="AA43" s="154"/>
      <c r="AB43" s="155" t="str">
        <f>IF($H$42=AB44,"▼","")</f>
        <v/>
      </c>
      <c r="AC43" s="119"/>
      <c r="AD43" s="2"/>
      <c r="AF43" s="2"/>
      <c r="AG43" s="50"/>
    </row>
    <row r="44" spans="2:35" ht="15">
      <c r="E44" s="3"/>
      <c r="F44" s="3"/>
      <c r="G44" s="3"/>
      <c r="J44" s="114"/>
      <c r="K44" s="50"/>
      <c r="L44" s="156" t="s">
        <v>60</v>
      </c>
      <c r="M44" s="157"/>
      <c r="N44" s="156" t="s">
        <v>61</v>
      </c>
      <c r="O44" s="157"/>
      <c r="P44" s="156" t="s">
        <v>62</v>
      </c>
      <c r="Q44" s="157"/>
      <c r="R44" s="156" t="s">
        <v>63</v>
      </c>
      <c r="S44" s="157"/>
      <c r="T44" s="156" t="s">
        <v>64</v>
      </c>
      <c r="U44" s="157"/>
      <c r="V44" s="156" t="s">
        <v>65</v>
      </c>
      <c r="W44" s="157"/>
      <c r="X44" s="156" t="s">
        <v>66</v>
      </c>
      <c r="Y44" s="157"/>
      <c r="Z44" s="156" t="s">
        <v>67</v>
      </c>
      <c r="AA44" s="157"/>
      <c r="AB44" s="158" t="s">
        <v>68</v>
      </c>
      <c r="AC44" s="119"/>
      <c r="AD44" s="2"/>
      <c r="AE44" t="s">
        <v>471</v>
      </c>
      <c r="AF44" s="2"/>
      <c r="AG44" s="50"/>
    </row>
    <row r="45" spans="2:35" ht="11.25" customHeight="1">
      <c r="J45" s="114"/>
      <c r="K45" s="50"/>
      <c r="L45" s="159" t="s">
        <v>204</v>
      </c>
      <c r="M45" s="160"/>
      <c r="N45" s="159" t="s">
        <v>205</v>
      </c>
      <c r="O45" s="160"/>
      <c r="P45" s="159" t="s">
        <v>489</v>
      </c>
      <c r="Q45" s="160"/>
      <c r="R45" s="159" t="s">
        <v>206</v>
      </c>
      <c r="S45" s="160"/>
      <c r="T45" s="159" t="s">
        <v>207</v>
      </c>
      <c r="U45" s="160"/>
      <c r="V45" s="159" t="s">
        <v>208</v>
      </c>
      <c r="W45" s="160"/>
      <c r="X45" s="159" t="s">
        <v>209</v>
      </c>
      <c r="Y45" s="160"/>
      <c r="Z45" s="159" t="s">
        <v>210</v>
      </c>
      <c r="AA45" s="160"/>
      <c r="AB45" s="161" t="s">
        <v>211</v>
      </c>
      <c r="AC45" s="119"/>
      <c r="AD45" s="2"/>
      <c r="AE45" s="369" t="s">
        <v>472</v>
      </c>
      <c r="AF45" s="2"/>
    </row>
    <row r="46" spans="2:35" ht="15">
      <c r="H46" s="30"/>
      <c r="J46" s="114"/>
      <c r="K46" s="121"/>
      <c r="L46" s="121"/>
      <c r="M46" s="121"/>
      <c r="N46" s="121"/>
      <c r="O46" s="121"/>
      <c r="P46" s="121"/>
      <c r="Q46" s="121"/>
      <c r="R46" s="121"/>
      <c r="S46" s="121"/>
      <c r="T46" s="121"/>
      <c r="U46" s="121"/>
      <c r="V46" s="121"/>
      <c r="W46" s="122"/>
      <c r="X46" s="121"/>
      <c r="Y46" s="122"/>
      <c r="Z46" s="121"/>
      <c r="AA46" s="122"/>
      <c r="AB46" s="124"/>
      <c r="AC46" s="119"/>
      <c r="AD46" s="2"/>
      <c r="AE46"/>
      <c r="AF46"/>
      <c r="AG46"/>
      <c r="AH46"/>
      <c r="AI46"/>
    </row>
    <row r="47" spans="2:35" ht="15">
      <c r="J47" s="114"/>
      <c r="K47" s="50"/>
      <c r="L47" s="50"/>
      <c r="M47" s="50"/>
      <c r="N47" s="50"/>
      <c r="O47" s="50"/>
      <c r="P47" s="50"/>
      <c r="Q47" s="50"/>
      <c r="R47" s="50"/>
      <c r="S47" s="50"/>
      <c r="T47" s="50"/>
      <c r="U47" s="50"/>
      <c r="V47" s="50"/>
      <c r="W47" s="98"/>
      <c r="X47" s="50"/>
      <c r="Y47" s="98"/>
      <c r="Z47" s="50"/>
      <c r="AA47" s="98"/>
      <c r="AB47" s="99"/>
      <c r="AC47" s="119"/>
      <c r="AD47" s="2"/>
      <c r="AE47"/>
      <c r="AF47"/>
      <c r="AG47"/>
      <c r="AH47"/>
      <c r="AI47"/>
    </row>
    <row r="48" spans="2:35" ht="15">
      <c r="B48" s="162"/>
      <c r="J48" s="114"/>
      <c r="K48" s="50" t="s">
        <v>212</v>
      </c>
      <c r="L48" s="50"/>
      <c r="M48" s="50"/>
      <c r="N48" s="50"/>
      <c r="O48" s="50"/>
      <c r="P48" s="50"/>
      <c r="Q48" s="50"/>
      <c r="R48" s="50"/>
      <c r="S48" s="50"/>
      <c r="T48" s="50"/>
      <c r="U48" s="50"/>
      <c r="V48" s="50"/>
      <c r="W48" s="98"/>
      <c r="X48" s="50"/>
      <c r="Y48" s="50"/>
      <c r="Z48" s="50"/>
      <c r="AA48" s="98"/>
      <c r="AB48" s="99"/>
      <c r="AC48" s="119"/>
      <c r="AD48" s="2"/>
      <c r="AE48"/>
      <c r="AF48"/>
      <c r="AG48"/>
      <c r="AH48"/>
      <c r="AI48"/>
    </row>
    <row r="49" spans="2:35" ht="15">
      <c r="B49" s="162"/>
      <c r="C49" s="5"/>
      <c r="E49" s="50"/>
      <c r="J49" s="114"/>
      <c r="K49" s="50" t="s">
        <v>213</v>
      </c>
      <c r="L49" s="50"/>
      <c r="M49" s="50"/>
      <c r="N49" s="50"/>
      <c r="O49" s="50"/>
      <c r="P49" s="50"/>
      <c r="Q49" s="50"/>
      <c r="R49" s="50"/>
      <c r="S49" s="50"/>
      <c r="T49" s="50"/>
      <c r="U49" s="50"/>
      <c r="V49" s="164" t="s">
        <v>201</v>
      </c>
      <c r="W49" s="137"/>
      <c r="X49" s="137"/>
      <c r="Y49" s="98"/>
      <c r="Z49" s="132" t="s">
        <v>192</v>
      </c>
      <c r="AA49" s="98"/>
      <c r="AB49" s="165"/>
      <c r="AC49" s="119"/>
      <c r="AD49" s="2"/>
      <c r="AE49"/>
      <c r="AF49"/>
      <c r="AG49"/>
      <c r="AH49"/>
      <c r="AI49"/>
    </row>
    <row r="50" spans="2:35" ht="15">
      <c r="B50" s="162"/>
      <c r="C50" s="166"/>
      <c r="I50" s="3"/>
      <c r="J50" s="114"/>
      <c r="K50" s="134" t="s">
        <v>191</v>
      </c>
      <c r="L50" s="50"/>
      <c r="M50" s="50"/>
      <c r="N50" s="50"/>
      <c r="O50" s="50"/>
      <c r="P50" s="50"/>
      <c r="Q50" s="50"/>
      <c r="R50" s="50"/>
      <c r="S50" s="50"/>
      <c r="T50" s="50"/>
      <c r="U50" s="50"/>
      <c r="V50" s="167">
        <f>AB38</f>
        <v>133.05817083333332</v>
      </c>
      <c r="W50" s="135" t="s">
        <v>214</v>
      </c>
      <c r="X50" s="50">
        <v>50</v>
      </c>
      <c r="Y50" s="117" t="s">
        <v>7</v>
      </c>
      <c r="Z50" s="213">
        <f>IF(C32="Yes",Z31,0)</f>
        <v>0.78333333333333321</v>
      </c>
      <c r="AA50" s="117" t="s">
        <v>215</v>
      </c>
      <c r="AB50" s="130">
        <f>IF(C32="Yes",V50+(X50*Z50),AB38)</f>
        <v>172.22483749999998</v>
      </c>
      <c r="AC50" s="119"/>
      <c r="AD50" s="2"/>
      <c r="AE50"/>
      <c r="AF50"/>
      <c r="AG50"/>
      <c r="AH50"/>
      <c r="AI50"/>
    </row>
    <row r="51" spans="2:35" ht="15">
      <c r="B51" s="162"/>
      <c r="C51" s="166"/>
      <c r="F51" s="50"/>
      <c r="I51" s="3"/>
      <c r="J51" s="114"/>
      <c r="K51" s="121"/>
      <c r="L51" s="121"/>
      <c r="M51" s="121"/>
      <c r="N51" s="121"/>
      <c r="O51" s="121"/>
      <c r="P51" s="121"/>
      <c r="Q51" s="121"/>
      <c r="R51" s="121"/>
      <c r="S51" s="168"/>
      <c r="T51" s="169"/>
      <c r="U51" s="170"/>
      <c r="V51" s="168"/>
      <c r="W51" s="171"/>
      <c r="X51" s="168"/>
      <c r="Y51" s="171"/>
      <c r="Z51" s="168"/>
      <c r="AA51" s="171"/>
      <c r="AB51" s="150"/>
      <c r="AC51" s="119"/>
      <c r="AD51" s="2"/>
      <c r="AE51"/>
      <c r="AF51"/>
      <c r="AG51"/>
      <c r="AH51"/>
      <c r="AI51"/>
    </row>
    <row r="52" spans="2:35" ht="15">
      <c r="B52" s="104"/>
      <c r="C52" s="55"/>
      <c r="F52" s="98"/>
      <c r="I52" s="3"/>
      <c r="J52" s="114"/>
      <c r="K52" s="174"/>
      <c r="L52" s="50"/>
      <c r="M52" s="50"/>
      <c r="N52" s="50"/>
      <c r="O52" s="50"/>
      <c r="P52" s="50"/>
      <c r="Q52" s="50"/>
      <c r="R52" s="50"/>
      <c r="S52" s="55"/>
      <c r="T52" s="175"/>
      <c r="U52" s="142"/>
      <c r="V52" s="55"/>
      <c r="W52" s="140"/>
      <c r="X52" s="55"/>
      <c r="Y52" s="140"/>
      <c r="Z52" s="55"/>
      <c r="AA52" s="140"/>
      <c r="AB52" s="151"/>
      <c r="AC52" s="119"/>
      <c r="AD52" s="2"/>
      <c r="AE52"/>
      <c r="AF52"/>
      <c r="AG52"/>
      <c r="AH52"/>
      <c r="AI52"/>
    </row>
    <row r="53" spans="2:35" ht="15">
      <c r="B53" s="104"/>
      <c r="I53" s="3"/>
      <c r="J53" s="114"/>
      <c r="K53" s="174"/>
      <c r="L53" s="50"/>
      <c r="M53" s="50"/>
      <c r="N53" s="50"/>
      <c r="O53" s="50"/>
      <c r="P53" s="50"/>
      <c r="Q53" s="50"/>
      <c r="R53" s="50"/>
      <c r="S53" s="55"/>
      <c r="T53" s="175"/>
      <c r="U53" s="142"/>
      <c r="V53" s="55"/>
      <c r="W53" s="140"/>
      <c r="X53" s="55"/>
      <c r="Y53" s="140"/>
      <c r="Z53" s="55"/>
      <c r="AA53" s="140"/>
      <c r="AB53" s="151"/>
      <c r="AC53" s="119"/>
      <c r="AD53" s="2"/>
      <c r="AE53"/>
      <c r="AF53"/>
      <c r="AG53"/>
      <c r="AH53"/>
      <c r="AI53"/>
    </row>
    <row r="54" spans="2:35" ht="15">
      <c r="B54" s="31"/>
      <c r="I54" s="3"/>
      <c r="J54" s="114"/>
      <c r="K54" s="50"/>
      <c r="L54" s="50"/>
      <c r="M54" s="50"/>
      <c r="N54" s="50"/>
      <c r="O54" s="50"/>
      <c r="P54" s="50"/>
      <c r="Q54" s="50"/>
      <c r="R54" s="50"/>
      <c r="S54" s="55"/>
      <c r="T54" s="175"/>
      <c r="U54" s="142"/>
      <c r="V54" s="55"/>
      <c r="W54" s="140"/>
      <c r="X54" s="55"/>
      <c r="Y54" s="140"/>
      <c r="Z54" s="55"/>
      <c r="AA54" s="140"/>
      <c r="AB54" s="151"/>
      <c r="AC54" s="119"/>
      <c r="AD54" s="2"/>
      <c r="AE54"/>
      <c r="AF54"/>
      <c r="AG54"/>
      <c r="AH54"/>
      <c r="AI54"/>
    </row>
    <row r="55" spans="2:35" ht="15.75" thickBot="1">
      <c r="B55" s="137"/>
      <c r="C55" s="50"/>
      <c r="D55" s="50"/>
      <c r="I55" s="3"/>
      <c r="J55" s="179"/>
      <c r="K55" s="180"/>
      <c r="L55" s="180"/>
      <c r="M55" s="180"/>
      <c r="N55" s="180"/>
      <c r="O55" s="180"/>
      <c r="P55" s="180"/>
      <c r="Q55" s="180"/>
      <c r="R55" s="180"/>
      <c r="S55" s="181"/>
      <c r="T55" s="182"/>
      <c r="U55" s="183"/>
      <c r="V55" s="181"/>
      <c r="W55" s="184"/>
      <c r="X55" s="181"/>
      <c r="Y55" s="184"/>
      <c r="Z55" s="181"/>
      <c r="AA55" s="184"/>
      <c r="AB55" s="185"/>
      <c r="AC55" s="186"/>
      <c r="AD55" s="2"/>
      <c r="AE55"/>
      <c r="AF55"/>
      <c r="AG55"/>
      <c r="AH55"/>
      <c r="AI55"/>
    </row>
    <row r="56" spans="2:35" ht="15">
      <c r="B56" s="104"/>
      <c r="I56" s="3"/>
      <c r="AE56"/>
      <c r="AF56"/>
      <c r="AG56"/>
      <c r="AH56"/>
      <c r="AI56"/>
    </row>
    <row r="57" spans="2:35" ht="15">
      <c r="B57" s="104"/>
      <c r="E57" s="102"/>
      <c r="F57" s="50"/>
      <c r="G57" s="50"/>
      <c r="H57" s="50"/>
      <c r="I57" s="3"/>
      <c r="W57" s="2"/>
      <c r="Y57" s="2"/>
      <c r="AD57" s="2"/>
      <c r="AE57"/>
      <c r="AF57"/>
      <c r="AG57"/>
      <c r="AH57"/>
      <c r="AI57"/>
    </row>
    <row r="58" spans="2:35" ht="15">
      <c r="B58" s="104"/>
      <c r="I58" s="3"/>
      <c r="W58" s="2"/>
      <c r="Y58" s="2"/>
      <c r="AD58" s="2"/>
      <c r="AE58"/>
      <c r="AF58"/>
      <c r="AG58"/>
      <c r="AH58"/>
      <c r="AI58"/>
    </row>
    <row r="59" spans="2:35" ht="15">
      <c r="B59" s="3"/>
      <c r="C59" s="3"/>
      <c r="D59" s="3"/>
      <c r="E59" s="3"/>
      <c r="F59" s="3"/>
      <c r="G59" s="3"/>
      <c r="H59" s="3"/>
      <c r="I59" s="3"/>
      <c r="W59" s="2"/>
      <c r="Y59" s="2"/>
      <c r="AD59" s="2"/>
      <c r="AE59"/>
      <c r="AF59"/>
      <c r="AG59"/>
      <c r="AH59"/>
      <c r="AI59"/>
    </row>
    <row r="60" spans="2:35" ht="15">
      <c r="B60" s="3"/>
      <c r="C60" s="3"/>
      <c r="D60" s="3"/>
      <c r="E60" s="3"/>
      <c r="F60" s="3"/>
      <c r="G60" s="3"/>
      <c r="H60" s="3"/>
      <c r="I60" s="3"/>
      <c r="W60" s="2"/>
      <c r="Y60" s="2"/>
      <c r="AD60" s="2"/>
      <c r="AE60"/>
      <c r="AF60"/>
      <c r="AG60"/>
      <c r="AH60"/>
      <c r="AI60"/>
    </row>
    <row r="61" spans="2:35" ht="15">
      <c r="B61"/>
      <c r="C61"/>
      <c r="D61"/>
      <c r="E61"/>
      <c r="W61" s="2"/>
      <c r="Y61" s="2"/>
      <c r="AD61" s="2"/>
      <c r="AE61"/>
      <c r="AF61"/>
      <c r="AG61"/>
      <c r="AH61"/>
      <c r="AI61"/>
    </row>
    <row r="62" spans="2:35" ht="15">
      <c r="B62"/>
      <c r="C62"/>
      <c r="D62"/>
      <c r="E62"/>
      <c r="W62" s="2"/>
      <c r="Y62" s="2"/>
      <c r="AD62" s="2"/>
      <c r="AE62"/>
      <c r="AF62"/>
      <c r="AG62"/>
      <c r="AH62"/>
      <c r="AI62"/>
    </row>
    <row r="63" spans="2:35" ht="15">
      <c r="B63"/>
      <c r="C63"/>
      <c r="D63"/>
      <c r="E63"/>
      <c r="W63" s="2"/>
      <c r="Y63" s="2"/>
      <c r="AD63" s="2"/>
      <c r="AE63"/>
      <c r="AF63"/>
      <c r="AG63"/>
      <c r="AH63"/>
      <c r="AI63"/>
    </row>
    <row r="64" spans="2:35" ht="15">
      <c r="B64"/>
      <c r="C64"/>
      <c r="D64"/>
      <c r="E64"/>
      <c r="W64" s="2"/>
      <c r="Y64" s="2"/>
      <c r="AD64" s="2"/>
      <c r="AE64"/>
      <c r="AF64"/>
      <c r="AG64"/>
      <c r="AH64"/>
      <c r="AI64"/>
    </row>
    <row r="65" spans="2:35" ht="15">
      <c r="B65"/>
      <c r="C65"/>
      <c r="D65"/>
      <c r="E65"/>
      <c r="W65" s="2"/>
      <c r="Y65" s="2"/>
      <c r="AD65" s="2"/>
      <c r="AE65"/>
      <c r="AF65"/>
      <c r="AG65"/>
      <c r="AH65"/>
      <c r="AI65"/>
    </row>
    <row r="66" spans="2:35" ht="15">
      <c r="B66"/>
      <c r="C66"/>
      <c r="D66"/>
      <c r="E66"/>
      <c r="W66" s="2"/>
      <c r="Y66" s="2"/>
      <c r="AD66" s="2"/>
      <c r="AE66"/>
      <c r="AF66"/>
      <c r="AG66"/>
      <c r="AH66"/>
      <c r="AI66"/>
    </row>
    <row r="67" spans="2:35" ht="15">
      <c r="B67"/>
      <c r="C67"/>
      <c r="D67"/>
      <c r="E67"/>
      <c r="W67" s="2"/>
      <c r="Y67" s="2"/>
      <c r="AD67" s="2"/>
      <c r="AE67"/>
      <c r="AF67"/>
      <c r="AG67"/>
      <c r="AH67"/>
      <c r="AI67"/>
    </row>
    <row r="68" spans="2:35" ht="15">
      <c r="B68"/>
      <c r="C68"/>
      <c r="D68"/>
      <c r="E68"/>
      <c r="W68" s="2"/>
      <c r="Y68" s="2"/>
      <c r="AD68" s="2"/>
      <c r="AE68"/>
      <c r="AF68"/>
      <c r="AG68"/>
      <c r="AH68"/>
      <c r="AI68"/>
    </row>
    <row r="69" spans="2:35" ht="15">
      <c r="B69"/>
      <c r="C69"/>
      <c r="D69"/>
      <c r="E69"/>
      <c r="W69" s="2"/>
      <c r="Y69" s="2"/>
      <c r="AD69" s="2"/>
      <c r="AE69"/>
      <c r="AF69"/>
      <c r="AG69"/>
      <c r="AH69"/>
      <c r="AI69"/>
    </row>
    <row r="70" spans="2:35" ht="15">
      <c r="B70"/>
      <c r="C70"/>
      <c r="D70"/>
      <c r="E70"/>
      <c r="W70" s="2"/>
      <c r="Y70" s="2"/>
      <c r="AD70" s="2"/>
      <c r="AE70"/>
      <c r="AF70"/>
      <c r="AG70"/>
      <c r="AH70"/>
      <c r="AI70"/>
    </row>
    <row r="71" spans="2:35" ht="15">
      <c r="B71"/>
      <c r="C71"/>
      <c r="D71"/>
      <c r="E71"/>
      <c r="W71" s="2"/>
      <c r="Y71" s="2"/>
      <c r="AD71" s="2"/>
      <c r="AE71"/>
      <c r="AF71"/>
      <c r="AG71"/>
      <c r="AH71"/>
      <c r="AI71"/>
    </row>
    <row r="72" spans="2:35" ht="15">
      <c r="B72"/>
      <c r="C72"/>
      <c r="D72"/>
      <c r="E72"/>
      <c r="W72" s="2"/>
      <c r="Y72" s="2"/>
      <c r="AD72" s="2"/>
      <c r="AE72"/>
      <c r="AF72"/>
      <c r="AG72"/>
      <c r="AH72"/>
      <c r="AI72"/>
    </row>
    <row r="73" spans="2:35" ht="15">
      <c r="B73"/>
      <c r="C73"/>
      <c r="D73"/>
      <c r="E73"/>
      <c r="W73" s="2"/>
      <c r="Y73" s="2"/>
      <c r="AD73" s="2"/>
      <c r="AE73"/>
      <c r="AF73"/>
      <c r="AG73"/>
      <c r="AH73"/>
      <c r="AI73"/>
    </row>
    <row r="74" spans="2:35" ht="15">
      <c r="B74"/>
      <c r="C74"/>
      <c r="D74"/>
      <c r="E74"/>
      <c r="W74" s="2"/>
      <c r="Y74" s="2"/>
      <c r="AD74" s="2"/>
      <c r="AE74"/>
      <c r="AF74"/>
      <c r="AG74"/>
      <c r="AH74"/>
      <c r="AI74"/>
    </row>
    <row r="75" spans="2:35" ht="15">
      <c r="B75"/>
      <c r="C75"/>
      <c r="D75"/>
      <c r="E75"/>
      <c r="W75" s="2"/>
      <c r="Y75" s="2"/>
      <c r="AD75" s="2"/>
      <c r="AE75"/>
      <c r="AF75"/>
      <c r="AG75"/>
      <c r="AH75"/>
      <c r="AI75"/>
    </row>
    <row r="76" spans="2:35" ht="15">
      <c r="B76"/>
      <c r="C76"/>
      <c r="D76"/>
      <c r="E76"/>
      <c r="F76"/>
      <c r="G76"/>
      <c r="W76" s="2"/>
      <c r="Y76" s="2"/>
      <c r="AD76" s="2"/>
      <c r="AE76"/>
      <c r="AF76"/>
      <c r="AG76"/>
      <c r="AH76"/>
      <c r="AI76"/>
    </row>
    <row r="77" spans="2:35" ht="15">
      <c r="B77"/>
      <c r="C77"/>
      <c r="D77"/>
      <c r="E77"/>
      <c r="F77"/>
      <c r="G77"/>
      <c r="AE77"/>
      <c r="AF77"/>
      <c r="AG77"/>
      <c r="AH77"/>
      <c r="AI77"/>
    </row>
    <row r="78" spans="2:35" ht="15">
      <c r="B78"/>
      <c r="C78"/>
      <c r="D78"/>
      <c r="E78"/>
      <c r="F78"/>
      <c r="G78"/>
      <c r="AE78"/>
      <c r="AF78"/>
      <c r="AG78"/>
      <c r="AH78"/>
      <c r="AI78"/>
    </row>
    <row r="79" spans="2:35" ht="15">
      <c r="B79"/>
      <c r="C79"/>
      <c r="D79"/>
      <c r="E79"/>
      <c r="F79"/>
      <c r="G79"/>
      <c r="AE79"/>
      <c r="AF79"/>
      <c r="AG79"/>
      <c r="AH79"/>
      <c r="AI79"/>
    </row>
    <row r="80" spans="2:35" ht="15">
      <c r="B80"/>
      <c r="C80"/>
      <c r="D80"/>
      <c r="E80"/>
      <c r="AE80"/>
      <c r="AF80"/>
      <c r="AG80"/>
      <c r="AH80"/>
      <c r="AI80"/>
    </row>
    <row r="81" spans="2:35" ht="15">
      <c r="B81"/>
      <c r="C81"/>
      <c r="D81"/>
      <c r="E81"/>
      <c r="AE81"/>
      <c r="AF81"/>
      <c r="AG81"/>
      <c r="AH81"/>
      <c r="AI81"/>
    </row>
    <row r="82" spans="2:35" ht="15">
      <c r="B82"/>
      <c r="C82"/>
      <c r="D82"/>
      <c r="E82"/>
      <c r="AE82"/>
      <c r="AF82"/>
      <c r="AG82"/>
      <c r="AH82"/>
      <c r="AI82"/>
    </row>
    <row r="83" spans="2:35" ht="15">
      <c r="B83"/>
      <c r="C83"/>
      <c r="D83"/>
      <c r="E83"/>
      <c r="AE83"/>
      <c r="AF83"/>
      <c r="AG83"/>
      <c r="AH83"/>
      <c r="AI83"/>
    </row>
    <row r="84" spans="2:35" ht="15">
      <c r="B84"/>
      <c r="C84"/>
      <c r="D84"/>
      <c r="E84"/>
      <c r="AE84"/>
      <c r="AF84"/>
      <c r="AG84"/>
      <c r="AH84"/>
      <c r="AI84"/>
    </row>
    <row r="85" spans="2:35" ht="15">
      <c r="B85"/>
      <c r="C85"/>
      <c r="D85"/>
      <c r="E85"/>
      <c r="AE85"/>
      <c r="AF85"/>
      <c r="AG85"/>
      <c r="AH85"/>
      <c r="AI85"/>
    </row>
    <row r="86" spans="2:35" ht="15">
      <c r="B86"/>
      <c r="C86"/>
      <c r="D86"/>
      <c r="E86"/>
      <c r="AE86"/>
      <c r="AF86"/>
      <c r="AG86"/>
      <c r="AH86"/>
      <c r="AI86"/>
    </row>
    <row r="87" spans="2:35" ht="15">
      <c r="B87"/>
      <c r="C87"/>
      <c r="D87"/>
      <c r="E87"/>
      <c r="AE87"/>
      <c r="AF87"/>
      <c r="AG87"/>
      <c r="AH87"/>
      <c r="AI87"/>
    </row>
    <row r="88" spans="2:35" ht="15">
      <c r="B88"/>
      <c r="C88"/>
      <c r="D88"/>
      <c r="E88"/>
      <c r="AE88"/>
      <c r="AF88"/>
      <c r="AG88"/>
      <c r="AH88"/>
      <c r="AI88"/>
    </row>
    <row r="89" spans="2:35" ht="15">
      <c r="B89"/>
      <c r="C89"/>
      <c r="D89"/>
      <c r="E89"/>
      <c r="AE89"/>
      <c r="AF89"/>
      <c r="AG89"/>
      <c r="AH89"/>
      <c r="AI89"/>
    </row>
    <row r="90" spans="2:35" ht="15">
      <c r="B90"/>
      <c r="C90"/>
      <c r="D90"/>
      <c r="E90"/>
      <c r="AE90"/>
      <c r="AF90"/>
      <c r="AG90"/>
      <c r="AH90"/>
      <c r="AI90"/>
    </row>
    <row r="91" spans="2:35" ht="15">
      <c r="B91"/>
      <c r="C91"/>
      <c r="D91"/>
      <c r="E91"/>
      <c r="AE91"/>
      <c r="AF91"/>
      <c r="AG91"/>
      <c r="AH91"/>
      <c r="AI91"/>
    </row>
    <row r="92" spans="2:35" ht="15">
      <c r="B92"/>
      <c r="C92"/>
      <c r="D92"/>
      <c r="E92"/>
      <c r="AE92"/>
      <c r="AF92"/>
      <c r="AG92"/>
      <c r="AH92"/>
      <c r="AI92"/>
    </row>
    <row r="93" spans="2:35" ht="15">
      <c r="B93"/>
      <c r="C93"/>
      <c r="D93"/>
      <c r="E93"/>
      <c r="AE93"/>
      <c r="AF93"/>
      <c r="AG93"/>
      <c r="AH93"/>
      <c r="AI93"/>
    </row>
    <row r="94" spans="2:35" ht="15">
      <c r="B94"/>
      <c r="C94"/>
      <c r="D94"/>
      <c r="E94"/>
      <c r="AE94"/>
      <c r="AF94"/>
      <c r="AG94"/>
      <c r="AH94"/>
      <c r="AI94"/>
    </row>
    <row r="95" spans="2:35" ht="15">
      <c r="B95"/>
      <c r="C95"/>
      <c r="D95"/>
      <c r="E95"/>
      <c r="AE95"/>
      <c r="AF95"/>
      <c r="AG95"/>
      <c r="AH95"/>
      <c r="AI95"/>
    </row>
    <row r="96" spans="2:35" ht="15">
      <c r="B96"/>
      <c r="C96"/>
      <c r="D96"/>
      <c r="E96"/>
      <c r="AE96"/>
      <c r="AF96"/>
      <c r="AG96"/>
      <c r="AH96"/>
      <c r="AI96"/>
    </row>
    <row r="97" spans="2:35" ht="15">
      <c r="B97"/>
      <c r="C97"/>
      <c r="D97"/>
      <c r="E97"/>
      <c r="AE97"/>
      <c r="AF97"/>
      <c r="AG97"/>
      <c r="AH97"/>
      <c r="AI97"/>
    </row>
    <row r="98" spans="2:35" ht="15">
      <c r="B98"/>
      <c r="C98"/>
      <c r="D98"/>
      <c r="E98"/>
      <c r="AE98"/>
      <c r="AF98"/>
      <c r="AG98"/>
      <c r="AH98"/>
      <c r="AI98"/>
    </row>
    <row r="99" spans="2:35" ht="15">
      <c r="B99"/>
      <c r="C99"/>
      <c r="D99"/>
      <c r="E99"/>
      <c r="AE99"/>
      <c r="AF99"/>
      <c r="AG99"/>
      <c r="AH99"/>
      <c r="AI99"/>
    </row>
    <row r="100" spans="2:35" ht="15">
      <c r="B100"/>
      <c r="C100"/>
      <c r="D100"/>
      <c r="E100"/>
      <c r="AE100"/>
      <c r="AF100"/>
      <c r="AG100"/>
      <c r="AH100"/>
      <c r="AI100"/>
    </row>
    <row r="101" spans="2:35" ht="15">
      <c r="B101"/>
      <c r="C101"/>
      <c r="D101"/>
      <c r="E101"/>
      <c r="AE101"/>
      <c r="AF101"/>
      <c r="AG101"/>
      <c r="AH101"/>
      <c r="AI101"/>
    </row>
    <row r="102" spans="2:35" ht="15">
      <c r="B102"/>
      <c r="C102"/>
      <c r="D102"/>
      <c r="E102"/>
      <c r="AE102"/>
      <c r="AF102"/>
      <c r="AG102"/>
      <c r="AH102"/>
      <c r="AI102"/>
    </row>
    <row r="103" spans="2:35" ht="15">
      <c r="B103"/>
      <c r="C103"/>
      <c r="D103"/>
      <c r="E103"/>
      <c r="AE103"/>
      <c r="AF103"/>
      <c r="AG103"/>
      <c r="AH103"/>
      <c r="AI103"/>
    </row>
    <row r="104" spans="2:35" ht="15">
      <c r="B104"/>
      <c r="C104"/>
      <c r="D104"/>
      <c r="E104"/>
      <c r="AE104"/>
      <c r="AF104"/>
      <c r="AG104"/>
      <c r="AH104"/>
      <c r="AI104"/>
    </row>
    <row r="105" spans="2:35" ht="15">
      <c r="B105"/>
      <c r="C105"/>
      <c r="D105"/>
      <c r="E105"/>
      <c r="AE105"/>
      <c r="AF105"/>
      <c r="AG105"/>
      <c r="AH105"/>
      <c r="AI105"/>
    </row>
    <row r="106" spans="2:35" ht="15">
      <c r="B106"/>
      <c r="C106"/>
      <c r="D106"/>
      <c r="E106"/>
      <c r="AE106"/>
      <c r="AF106"/>
      <c r="AG106"/>
      <c r="AH106"/>
      <c r="AI106"/>
    </row>
    <row r="107" spans="2:35" ht="15">
      <c r="B107"/>
      <c r="C107"/>
      <c r="D107"/>
      <c r="E107"/>
      <c r="AE107"/>
      <c r="AF107"/>
      <c r="AG107"/>
      <c r="AH107"/>
      <c r="AI107"/>
    </row>
    <row r="108" spans="2:35" ht="15">
      <c r="B108"/>
      <c r="C108"/>
      <c r="D108"/>
      <c r="E108"/>
      <c r="AE108"/>
      <c r="AF108"/>
      <c r="AG108"/>
      <c r="AH108"/>
      <c r="AI108"/>
    </row>
    <row r="109" spans="2:35" ht="15">
      <c r="B109"/>
      <c r="C109"/>
      <c r="D109"/>
      <c r="E109"/>
      <c r="AE109"/>
      <c r="AF109"/>
      <c r="AG109"/>
      <c r="AH109"/>
      <c r="AI109"/>
    </row>
    <row r="110" spans="2:35" ht="15">
      <c r="B110"/>
      <c r="C110"/>
      <c r="D110"/>
      <c r="E110"/>
      <c r="AE110"/>
      <c r="AF110"/>
      <c r="AG110"/>
      <c r="AH110"/>
      <c r="AI110"/>
    </row>
    <row r="111" spans="2:35" ht="15">
      <c r="B111"/>
      <c r="C111"/>
      <c r="D111"/>
      <c r="E111"/>
      <c r="AE111"/>
      <c r="AF111"/>
      <c r="AG111"/>
      <c r="AH111"/>
      <c r="AI111"/>
    </row>
    <row r="112" spans="2:35" ht="15">
      <c r="B112"/>
      <c r="C112"/>
      <c r="D112"/>
      <c r="E112"/>
      <c r="AE112"/>
      <c r="AF112"/>
      <c r="AG112"/>
      <c r="AH112"/>
      <c r="AI112"/>
    </row>
    <row r="113" spans="2:35" ht="15">
      <c r="B113"/>
      <c r="C113"/>
      <c r="D113"/>
      <c r="E113"/>
      <c r="AE113"/>
      <c r="AF113"/>
      <c r="AG113"/>
      <c r="AH113"/>
      <c r="AI113"/>
    </row>
    <row r="114" spans="2:35" ht="15">
      <c r="B114"/>
      <c r="C114"/>
      <c r="D114"/>
      <c r="E114"/>
      <c r="AE114"/>
      <c r="AF114"/>
      <c r="AG114"/>
      <c r="AH114"/>
      <c r="AI114"/>
    </row>
    <row r="115" spans="2:35" ht="15">
      <c r="B115"/>
      <c r="C115"/>
      <c r="D115"/>
      <c r="E115"/>
      <c r="AE115"/>
      <c r="AF115"/>
      <c r="AG115"/>
      <c r="AH115"/>
      <c r="AI115"/>
    </row>
    <row r="116" spans="2:35" ht="15">
      <c r="B116"/>
      <c r="C116"/>
      <c r="D116"/>
      <c r="E116"/>
      <c r="AE116"/>
      <c r="AF116"/>
      <c r="AG116"/>
      <c r="AH116"/>
      <c r="AI116"/>
    </row>
    <row r="117" spans="2:35" ht="15">
      <c r="B117"/>
      <c r="C117"/>
      <c r="D117"/>
      <c r="E117"/>
      <c r="AE117"/>
      <c r="AF117"/>
      <c r="AG117"/>
      <c r="AH117"/>
      <c r="AI117"/>
    </row>
    <row r="118" spans="2:35" ht="15">
      <c r="B118"/>
      <c r="C118"/>
      <c r="D118"/>
      <c r="E118"/>
      <c r="AE118"/>
      <c r="AF118"/>
      <c r="AG118"/>
      <c r="AH118"/>
      <c r="AI118"/>
    </row>
    <row r="119" spans="2:35" ht="15">
      <c r="B119"/>
      <c r="C119"/>
      <c r="D119"/>
      <c r="E119"/>
      <c r="AE119"/>
      <c r="AF119"/>
      <c r="AG119"/>
      <c r="AH119"/>
      <c r="AI119"/>
    </row>
    <row r="120" spans="2:35" ht="15">
      <c r="B120"/>
      <c r="C120"/>
      <c r="D120"/>
      <c r="E120"/>
      <c r="AE120"/>
      <c r="AF120"/>
      <c r="AG120"/>
      <c r="AH120"/>
      <c r="AI120"/>
    </row>
    <row r="121" spans="2:35" ht="15">
      <c r="B121"/>
      <c r="C121"/>
      <c r="D121"/>
      <c r="E121"/>
      <c r="AE121"/>
      <c r="AF121"/>
      <c r="AG121"/>
      <c r="AH121"/>
      <c r="AI121"/>
    </row>
    <row r="122" spans="2:35" ht="15">
      <c r="B122"/>
      <c r="C122"/>
      <c r="D122"/>
      <c r="E122"/>
      <c r="AE122"/>
      <c r="AF122"/>
      <c r="AG122"/>
      <c r="AH122"/>
      <c r="AI122"/>
    </row>
    <row r="123" spans="2:35" ht="15">
      <c r="B123"/>
      <c r="C123"/>
      <c r="D123"/>
      <c r="E123"/>
      <c r="AE123"/>
      <c r="AF123"/>
      <c r="AG123"/>
      <c r="AH123"/>
      <c r="AI123"/>
    </row>
    <row r="124" spans="2:35" ht="15">
      <c r="B124"/>
      <c r="C124"/>
      <c r="D124"/>
      <c r="E124"/>
      <c r="AE124"/>
      <c r="AF124"/>
      <c r="AG124"/>
      <c r="AH124"/>
      <c r="AI124"/>
    </row>
    <row r="125" spans="2:35" ht="15">
      <c r="B125"/>
      <c r="C125"/>
      <c r="D125"/>
      <c r="E125"/>
      <c r="AE125"/>
      <c r="AF125"/>
      <c r="AG125"/>
      <c r="AH125"/>
      <c r="AI125"/>
    </row>
    <row r="126" spans="2:35" ht="15">
      <c r="B126"/>
      <c r="C126"/>
      <c r="D126"/>
      <c r="E126"/>
      <c r="AE126"/>
      <c r="AF126"/>
      <c r="AG126"/>
      <c r="AH126"/>
      <c r="AI126"/>
    </row>
    <row r="127" spans="2:35" ht="15">
      <c r="B127"/>
      <c r="C127"/>
      <c r="D127"/>
      <c r="E127"/>
      <c r="AE127"/>
      <c r="AF127"/>
      <c r="AG127"/>
      <c r="AH127"/>
      <c r="AI127"/>
    </row>
    <row r="128" spans="2:35" ht="15">
      <c r="B128"/>
      <c r="C128"/>
      <c r="D128"/>
      <c r="E128"/>
      <c r="AE128"/>
      <c r="AF128"/>
      <c r="AG128"/>
      <c r="AH128"/>
      <c r="AI128"/>
    </row>
    <row r="129" spans="2:35" ht="15">
      <c r="B129"/>
      <c r="C129"/>
      <c r="D129"/>
      <c r="E129"/>
      <c r="AE129"/>
      <c r="AF129"/>
      <c r="AG129"/>
      <c r="AH129"/>
      <c r="AI129"/>
    </row>
    <row r="130" spans="2:35" ht="15">
      <c r="B130"/>
      <c r="C130"/>
      <c r="D130"/>
      <c r="E130"/>
      <c r="AE130"/>
      <c r="AF130"/>
      <c r="AG130"/>
      <c r="AH130"/>
      <c r="AI130"/>
    </row>
    <row r="131" spans="2:35" ht="15">
      <c r="B131"/>
      <c r="C131"/>
      <c r="D131"/>
      <c r="E131"/>
      <c r="AE131"/>
      <c r="AF131"/>
      <c r="AG131"/>
      <c r="AH131"/>
      <c r="AI131"/>
    </row>
    <row r="132" spans="2:35" ht="15">
      <c r="B132"/>
      <c r="C132"/>
      <c r="D132"/>
      <c r="E132"/>
      <c r="AE132"/>
      <c r="AF132"/>
      <c r="AG132"/>
      <c r="AH132"/>
      <c r="AI132"/>
    </row>
    <row r="133" spans="2:35" ht="15">
      <c r="B133"/>
      <c r="C133"/>
      <c r="D133"/>
      <c r="E133"/>
      <c r="AE133"/>
      <c r="AF133"/>
      <c r="AG133"/>
      <c r="AH133"/>
      <c r="AI133"/>
    </row>
    <row r="134" spans="2:35" ht="15">
      <c r="B134"/>
      <c r="C134"/>
      <c r="D134"/>
      <c r="E134"/>
      <c r="AE134"/>
      <c r="AF134"/>
      <c r="AG134"/>
      <c r="AH134"/>
      <c r="AI134"/>
    </row>
    <row r="135" spans="2:35" ht="15">
      <c r="B135"/>
      <c r="C135"/>
      <c r="D135"/>
      <c r="E135"/>
      <c r="AE135"/>
      <c r="AF135"/>
      <c r="AG135"/>
      <c r="AH135"/>
      <c r="AI135"/>
    </row>
    <row r="136" spans="2:35" ht="15">
      <c r="B136"/>
      <c r="C136"/>
      <c r="D136"/>
      <c r="E136"/>
      <c r="AE136" s="2"/>
      <c r="AF136" s="2"/>
    </row>
    <row r="137" spans="2:35" ht="15">
      <c r="B137"/>
      <c r="C137"/>
      <c r="D137"/>
      <c r="E137"/>
      <c r="AE137" s="2"/>
      <c r="AF137" s="2"/>
    </row>
    <row r="138" spans="2:35" ht="15">
      <c r="B138"/>
      <c r="C138"/>
      <c r="D138"/>
      <c r="E138"/>
      <c r="AE138" s="2"/>
      <c r="AF138" s="2"/>
    </row>
    <row r="139" spans="2:35" ht="15">
      <c r="B139"/>
      <c r="C139"/>
      <c r="D139"/>
      <c r="E139"/>
      <c r="AE139" s="2"/>
      <c r="AF139" s="2"/>
    </row>
    <row r="140" spans="2:35" ht="15">
      <c r="B140"/>
      <c r="C140"/>
      <c r="D140"/>
      <c r="E140"/>
      <c r="AE140" s="2"/>
      <c r="AF140" s="2"/>
    </row>
    <row r="141" spans="2:35">
      <c r="AE141" s="2"/>
      <c r="AF141" s="2"/>
    </row>
    <row r="142" spans="2:35">
      <c r="AE142" s="2"/>
      <c r="AF142" s="2"/>
    </row>
    <row r="143" spans="2:35">
      <c r="AE143" s="2"/>
      <c r="AF143" s="2"/>
    </row>
  </sheetData>
  <mergeCells count="10">
    <mergeCell ref="AB1:AC1"/>
    <mergeCell ref="AE4:AJ4"/>
    <mergeCell ref="B10:C10"/>
    <mergeCell ref="B13:C13"/>
    <mergeCell ref="B17:C17"/>
    <mergeCell ref="B21:C21"/>
    <mergeCell ref="B24:C24"/>
    <mergeCell ref="B26:C26"/>
    <mergeCell ref="B30:C30"/>
    <mergeCell ref="B7:C7"/>
  </mergeCells>
  <dataValidations count="6">
    <dataValidation type="list" allowBlank="1" showInputMessage="1" showErrorMessage="1" sqref="B24:C24">
      <formula1>lst_SolCol</formula1>
    </dataValidation>
    <dataValidation type="list" allowBlank="1" showInputMessage="1" showErrorMessage="1" sqref="B30:C30">
      <formula1>lst_HeatPump</formula1>
    </dataValidation>
    <dataValidation type="list" allowBlank="1" showInputMessage="1" showErrorMessage="1" sqref="B21:C21 B13:C13">
      <formula1>lst_Boilers</formula1>
    </dataValidation>
    <dataValidation type="list" allowBlank="1" showInputMessage="1" showErrorMessage="1" sqref="B17:C17">
      <formula1>lst_Ctrl</formula1>
    </dataValidation>
    <dataValidation type="list" allowBlank="1" showInputMessage="1" showErrorMessage="1" sqref="B26:C26">
      <formula1>lst_HWST</formula1>
    </dataValidation>
    <dataValidation type="list" allowBlank="1" showInputMessage="1" showErrorMessage="1" sqref="C31:C32">
      <formula1>YesNo</formula1>
    </dataValidation>
  </dataValidations>
  <hyperlinks>
    <hyperlink ref="B1" location="Index!A1" display="Back to index"/>
  </hyperlinks>
  <pageMargins left="0.75" right="0.75" top="1" bottom="1" header="0.5" footer="0.5"/>
  <pageSetup paperSize="9" scale="85" orientation="portrait" horizontalDpi="0" verticalDpi="0"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AJ143"/>
  <sheetViews>
    <sheetView showGridLines="0" zoomScaleNormal="100" workbookViewId="0"/>
  </sheetViews>
  <sheetFormatPr defaultRowHeight="12.75"/>
  <cols>
    <col min="1" max="1" width="2.28515625" style="2" customWidth="1"/>
    <col min="2" max="2" width="30.85546875" style="2" customWidth="1"/>
    <col min="3" max="4" width="4.85546875" style="2" bestFit="1" customWidth="1"/>
    <col min="5" max="5" width="9.42578125" style="2" bestFit="1" customWidth="1"/>
    <col min="6" max="6" width="9.85546875" style="2" customWidth="1"/>
    <col min="7" max="7" width="8.28515625" style="2" customWidth="1"/>
    <col min="8" max="8" width="9.5703125" style="2" bestFit="1" customWidth="1"/>
    <col min="9" max="9" width="3.140625" style="2" customWidth="1"/>
    <col min="10" max="10" width="3" style="2" customWidth="1"/>
    <col min="11" max="11" width="2.85546875" style="2" customWidth="1"/>
    <col min="12" max="12" width="7.140625" style="2" customWidth="1"/>
    <col min="13" max="13" width="1.85546875" style="2" bestFit="1" customWidth="1"/>
    <col min="14" max="14" width="6.7109375" style="2" bestFit="1" customWidth="1"/>
    <col min="15" max="15" width="2.28515625" style="2" bestFit="1" customWidth="1"/>
    <col min="16" max="16" width="8.85546875" style="2" bestFit="1" customWidth="1"/>
    <col min="17" max="17" width="2.28515625" style="2" bestFit="1" customWidth="1"/>
    <col min="18" max="18" width="6.7109375" style="2" bestFit="1" customWidth="1"/>
    <col min="19" max="19" width="2.28515625" style="2" bestFit="1" customWidth="1"/>
    <col min="20" max="20" width="10.85546875" style="2" bestFit="1" customWidth="1"/>
    <col min="21" max="21" width="3.5703125" style="2" bestFit="1" customWidth="1"/>
    <col min="22" max="22" width="7.28515625" style="2" customWidth="1"/>
    <col min="23" max="23" width="2.28515625" style="4" bestFit="1" customWidth="1"/>
    <col min="24" max="24" width="6.7109375" style="2" bestFit="1" customWidth="1"/>
    <col min="25" max="25" width="3.140625" style="4" customWidth="1"/>
    <col min="26" max="26" width="10.7109375" style="2" bestFit="1" customWidth="1"/>
    <col min="27" max="27" width="2.28515625" style="4" bestFit="1" customWidth="1"/>
    <col min="28" max="28" width="7.85546875" style="5" bestFit="1" customWidth="1"/>
    <col min="29" max="29" width="4.7109375" style="4" customWidth="1"/>
    <col min="30" max="30" width="3.85546875" style="2" customWidth="1"/>
    <col min="31" max="31" width="48.5703125" style="2" bestFit="1" customWidth="1"/>
    <col min="32" max="16384" width="9.140625" style="2"/>
  </cols>
  <sheetData>
    <row r="1" spans="1:36" ht="15">
      <c r="A1" s="3"/>
      <c r="B1" s="225" t="s">
        <v>312</v>
      </c>
      <c r="C1" s="3"/>
      <c r="E1" s="3"/>
      <c r="F1" s="3"/>
      <c r="J1" s="3" t="s">
        <v>13</v>
      </c>
      <c r="M1" s="3" t="s">
        <v>151</v>
      </c>
      <c r="O1" s="3"/>
      <c r="P1" s="3"/>
      <c r="Q1" s="3"/>
      <c r="R1" s="3"/>
      <c r="AB1" s="371">
        <v>41409</v>
      </c>
      <c r="AC1" s="372"/>
      <c r="AD1" s="3"/>
      <c r="AE1" s="3"/>
    </row>
    <row r="2" spans="1:36">
      <c r="A2" s="3"/>
      <c r="B2" s="3"/>
      <c r="C2" s="3"/>
      <c r="E2" s="3"/>
      <c r="F2" s="3"/>
      <c r="J2" s="3" t="s">
        <v>15</v>
      </c>
      <c r="M2" s="3" t="s">
        <v>286</v>
      </c>
      <c r="O2" s="3"/>
      <c r="P2" s="3"/>
      <c r="Q2" s="3"/>
      <c r="R2" s="3"/>
      <c r="AC2" s="6" t="s">
        <v>17</v>
      </c>
      <c r="AD2" s="3"/>
      <c r="AE2" s="3"/>
    </row>
    <row r="3" spans="1:36">
      <c r="A3" s="3"/>
      <c r="B3" s="3"/>
      <c r="C3" s="3"/>
      <c r="E3" s="3"/>
      <c r="F3" s="3"/>
      <c r="J3" s="3" t="s">
        <v>18</v>
      </c>
      <c r="M3" s="3" t="s">
        <v>153</v>
      </c>
      <c r="O3" s="3"/>
      <c r="P3" s="3"/>
      <c r="Q3" s="3"/>
      <c r="R3" s="3"/>
      <c r="AC3" s="7" t="s">
        <v>20</v>
      </c>
      <c r="AD3" s="3"/>
      <c r="AE3" s="3"/>
    </row>
    <row r="4" spans="1:36">
      <c r="A4" s="3"/>
      <c r="B4" s="8" t="s">
        <v>21</v>
      </c>
      <c r="C4" s="9"/>
      <c r="D4" s="10"/>
      <c r="E4" s="9"/>
      <c r="F4" s="9"/>
      <c r="J4" s="9" t="s">
        <v>22</v>
      </c>
      <c r="K4" s="10"/>
      <c r="L4" s="10"/>
      <c r="M4" s="9" t="s">
        <v>287</v>
      </c>
      <c r="N4" s="10"/>
      <c r="O4" s="10"/>
      <c r="P4" s="10"/>
      <c r="Q4" s="10"/>
      <c r="R4" s="10"/>
      <c r="S4" s="10"/>
      <c r="T4" s="10"/>
      <c r="U4" s="10"/>
      <c r="V4" s="10"/>
      <c r="W4" s="11"/>
      <c r="X4" s="10"/>
      <c r="Y4" s="11"/>
      <c r="Z4" s="10"/>
      <c r="AA4" s="11"/>
      <c r="AB4" s="12"/>
      <c r="AC4" s="13" t="s">
        <v>470</v>
      </c>
      <c r="AE4" s="14" t="s">
        <v>25</v>
      </c>
      <c r="AF4" s="14"/>
      <c r="AG4" s="14"/>
      <c r="AH4" s="14"/>
      <c r="AI4" s="14"/>
      <c r="AJ4" s="14"/>
    </row>
    <row r="6" spans="1:36">
      <c r="D6" s="50"/>
      <c r="E6" s="50"/>
      <c r="F6" s="50"/>
      <c r="G6" s="50"/>
      <c r="H6" s="50"/>
      <c r="I6" s="50"/>
      <c r="J6" s="50"/>
      <c r="K6" s="50"/>
      <c r="AE6" s="3" t="s">
        <v>442</v>
      </c>
      <c r="AF6" s="3"/>
      <c r="AG6" s="3"/>
      <c r="AH6" s="3"/>
    </row>
    <row r="7" spans="1:36">
      <c r="B7" s="384" t="s">
        <v>438</v>
      </c>
      <c r="C7" s="385"/>
      <c r="D7" s="97"/>
      <c r="E7" s="15" t="s">
        <v>440</v>
      </c>
      <c r="F7" s="16"/>
      <c r="G7" s="16"/>
      <c r="H7" s="17"/>
      <c r="I7" s="97"/>
      <c r="J7" s="3"/>
      <c r="K7" s="3"/>
      <c r="L7" s="3"/>
      <c r="M7" s="3"/>
      <c r="N7" s="3"/>
      <c r="O7" s="3"/>
      <c r="P7" s="3"/>
      <c r="Q7" s="3"/>
      <c r="R7" s="3"/>
      <c r="S7" s="3"/>
      <c r="T7" s="3"/>
      <c r="U7" s="3"/>
      <c r="V7" s="3"/>
      <c r="W7" s="3"/>
      <c r="X7" s="3"/>
      <c r="Y7" s="3"/>
      <c r="Z7" s="3"/>
      <c r="AA7" s="3"/>
      <c r="AB7" s="3"/>
      <c r="AC7" s="3"/>
      <c r="AE7" s="3" t="s">
        <v>443</v>
      </c>
      <c r="AF7" s="3"/>
      <c r="AG7" s="3"/>
      <c r="AH7" s="3"/>
    </row>
    <row r="8" spans="1:36">
      <c r="A8" s="210"/>
      <c r="B8" s="350" t="s">
        <v>439</v>
      </c>
      <c r="C8" s="351"/>
      <c r="D8" s="18"/>
      <c r="E8" s="299" t="s">
        <v>441</v>
      </c>
      <c r="F8" s="18"/>
      <c r="G8" s="18"/>
      <c r="H8" s="19"/>
      <c r="I8" s="97"/>
      <c r="J8" s="3"/>
      <c r="K8" s="3"/>
      <c r="L8" s="3"/>
      <c r="M8" s="3"/>
      <c r="N8" s="3"/>
      <c r="O8" s="3"/>
      <c r="P8" s="3"/>
      <c r="Q8" s="3"/>
      <c r="R8" s="3"/>
      <c r="S8" s="3"/>
      <c r="T8" s="3"/>
      <c r="U8" s="3"/>
      <c r="V8" s="3"/>
      <c r="W8" s="3"/>
      <c r="X8" s="3"/>
      <c r="Y8" s="3"/>
      <c r="Z8" s="3"/>
      <c r="AA8" s="3"/>
      <c r="AB8" s="3"/>
      <c r="AC8" s="3"/>
      <c r="AE8" s="3"/>
      <c r="AF8" s="3"/>
      <c r="AG8" s="3"/>
      <c r="AH8" s="3"/>
      <c r="AI8" s="3"/>
    </row>
    <row r="9" spans="1:36">
      <c r="E9" s="211"/>
      <c r="M9" s="50"/>
      <c r="N9" s="50"/>
      <c r="O9" s="50"/>
      <c r="P9" s="50"/>
      <c r="Q9" s="50"/>
      <c r="R9" s="50"/>
      <c r="S9" s="50"/>
      <c r="T9" s="50"/>
      <c r="U9" s="50"/>
      <c r="V9" s="50"/>
      <c r="W9" s="98"/>
      <c r="X9" s="50"/>
      <c r="Y9" s="98"/>
      <c r="Z9" s="50"/>
      <c r="AA9" s="98"/>
      <c r="AB9" s="99"/>
      <c r="AC9" s="98"/>
      <c r="AE9" s="352" t="s">
        <v>431</v>
      </c>
      <c r="AF9" s="3"/>
      <c r="AG9" s="3"/>
      <c r="AH9" s="3"/>
      <c r="AI9" s="3"/>
    </row>
    <row r="10" spans="1:36">
      <c r="A10" s="30"/>
      <c r="B10" s="3"/>
      <c r="C10" s="3"/>
      <c r="D10" s="3"/>
      <c r="E10" s="3"/>
      <c r="F10" s="3"/>
      <c r="G10" s="3"/>
      <c r="H10" s="3"/>
      <c r="K10" s="50"/>
      <c r="L10" s="50"/>
      <c r="M10" s="50"/>
      <c r="N10" s="50"/>
      <c r="O10" s="50"/>
      <c r="P10" s="50"/>
      <c r="Q10" s="50"/>
      <c r="U10" s="98"/>
      <c r="AC10" s="98"/>
      <c r="AE10" s="20" t="s">
        <v>27</v>
      </c>
      <c r="AF10" s="3"/>
      <c r="AG10" s="21"/>
      <c r="AH10" s="3"/>
      <c r="AI10" s="3"/>
    </row>
    <row r="11" spans="1:36" ht="13.5" thickBot="1">
      <c r="A11" s="30"/>
      <c r="D11" s="30"/>
      <c r="E11" s="30"/>
      <c r="F11" s="30"/>
      <c r="G11" s="30"/>
      <c r="H11" s="30"/>
      <c r="J11" s="174"/>
      <c r="K11" s="102"/>
      <c r="L11" s="102"/>
      <c r="N11" s="103"/>
      <c r="AC11" s="104"/>
      <c r="AE11" s="20" t="s">
        <v>28</v>
      </c>
      <c r="AF11" s="3"/>
      <c r="AG11" s="22"/>
      <c r="AH11" s="3" t="s">
        <v>29</v>
      </c>
      <c r="AI11" s="3"/>
    </row>
    <row r="12" spans="1:36" ht="15.75">
      <c r="A12" s="30"/>
      <c r="B12" s="29" t="s">
        <v>288</v>
      </c>
      <c r="C12" s="30"/>
      <c r="D12" s="105"/>
      <c r="E12" s="30"/>
      <c r="G12" s="65" t="s">
        <v>156</v>
      </c>
      <c r="H12" s="31" t="s">
        <v>157</v>
      </c>
      <c r="J12" s="106"/>
      <c r="K12" s="107"/>
      <c r="L12" s="107"/>
      <c r="M12" s="107"/>
      <c r="N12" s="107"/>
      <c r="O12" s="107"/>
      <c r="P12" s="107"/>
      <c r="Q12" s="107"/>
      <c r="R12" s="107"/>
      <c r="S12" s="107"/>
      <c r="T12" s="107"/>
      <c r="U12" s="107"/>
      <c r="V12" s="107"/>
      <c r="W12" s="108"/>
      <c r="X12" s="107"/>
      <c r="Y12" s="108"/>
      <c r="Z12" s="107"/>
      <c r="AA12" s="108"/>
      <c r="AB12" s="109" t="s">
        <v>33</v>
      </c>
      <c r="AC12" s="110"/>
      <c r="AE12" s="26" t="s">
        <v>30</v>
      </c>
      <c r="AF12" s="27"/>
      <c r="AG12" s="28"/>
      <c r="AH12" s="3" t="s">
        <v>29</v>
      </c>
      <c r="AI12" s="3"/>
    </row>
    <row r="13" spans="1:36">
      <c r="A13" s="55"/>
      <c r="B13" s="380" t="s">
        <v>294</v>
      </c>
      <c r="C13" s="381"/>
      <c r="D13" s="111"/>
      <c r="E13" s="37"/>
      <c r="F13" s="38"/>
      <c r="G13" s="39">
        <f>VLOOKUP(B13,dbf_CoGen,2,FALSE)</f>
        <v>5</v>
      </c>
      <c r="H13" s="39">
        <f>VLOOKUP(B13,dbf_CoGen,3,FALSE)</f>
        <v>80</v>
      </c>
      <c r="I13" s="40" t="s">
        <v>36</v>
      </c>
      <c r="J13" s="114"/>
      <c r="K13" s="50" t="s">
        <v>290</v>
      </c>
      <c r="L13" s="50"/>
      <c r="M13" s="50"/>
      <c r="N13" s="50"/>
      <c r="O13" s="50"/>
      <c r="P13" s="50"/>
      <c r="Q13" s="50"/>
      <c r="R13" s="50"/>
      <c r="S13" s="50"/>
      <c r="T13" s="50"/>
      <c r="U13" s="50"/>
      <c r="V13" s="50"/>
      <c r="W13" s="98"/>
      <c r="X13" s="50"/>
      <c r="Y13" s="98"/>
      <c r="Z13" s="50"/>
      <c r="AA13" s="117" t="s">
        <v>38</v>
      </c>
      <c r="AB13" s="118">
        <f>H13</f>
        <v>80</v>
      </c>
      <c r="AC13" s="119" t="s">
        <v>39</v>
      </c>
      <c r="AE13" s="26" t="s">
        <v>34</v>
      </c>
      <c r="AF13" s="27"/>
      <c r="AG13" s="36"/>
      <c r="AH13" s="3" t="s">
        <v>29</v>
      </c>
      <c r="AI13" s="3"/>
    </row>
    <row r="14" spans="1:36">
      <c r="A14" s="55"/>
      <c r="B14" s="55"/>
      <c r="C14" s="55"/>
      <c r="D14" s="55"/>
      <c r="E14" s="55"/>
      <c r="F14" s="30"/>
      <c r="G14" s="30"/>
      <c r="H14" s="30"/>
      <c r="I14" s="120"/>
      <c r="J14" s="114"/>
      <c r="K14" s="121"/>
      <c r="L14" s="121"/>
      <c r="M14" s="121"/>
      <c r="N14" s="121"/>
      <c r="O14" s="121"/>
      <c r="P14" s="121"/>
      <c r="Q14" s="121"/>
      <c r="R14" s="121"/>
      <c r="S14" s="121"/>
      <c r="T14" s="121"/>
      <c r="U14" s="121"/>
      <c r="V14" s="121"/>
      <c r="W14" s="122"/>
      <c r="X14" s="121"/>
      <c r="Y14" s="122"/>
      <c r="Z14" s="121"/>
      <c r="AA14" s="123"/>
      <c r="AB14" s="124"/>
      <c r="AC14" s="119"/>
      <c r="AE14" s="20" t="s">
        <v>40</v>
      </c>
      <c r="AF14" s="27"/>
      <c r="AG14" s="44"/>
      <c r="AH14" s="3" t="s">
        <v>29</v>
      </c>
      <c r="AI14" s="3"/>
    </row>
    <row r="15" spans="1:36">
      <c r="A15" s="55"/>
      <c r="I15" s="125"/>
      <c r="J15" s="114"/>
      <c r="K15" s="50"/>
      <c r="L15" s="50"/>
      <c r="M15" s="50"/>
      <c r="N15" s="50"/>
      <c r="O15" s="50"/>
      <c r="P15" s="50"/>
      <c r="Q15" s="50"/>
      <c r="R15" s="50"/>
      <c r="S15" s="50"/>
      <c r="T15" s="50"/>
      <c r="U15" s="50"/>
      <c r="V15" s="50"/>
      <c r="W15" s="98"/>
      <c r="X15" s="50"/>
      <c r="Y15" s="98"/>
      <c r="Z15" s="50"/>
      <c r="AA15" s="98"/>
      <c r="AB15" s="99"/>
      <c r="AC15" s="119"/>
      <c r="AE15" s="3"/>
      <c r="AF15" s="3"/>
    </row>
    <row r="16" spans="1:36">
      <c r="A16" s="55"/>
      <c r="B16" s="54" t="s">
        <v>291</v>
      </c>
      <c r="C16" s="55"/>
      <c r="D16" s="55"/>
      <c r="E16" s="55"/>
      <c r="F16" s="55"/>
      <c r="G16" s="55"/>
      <c r="H16" s="65" t="s">
        <v>58</v>
      </c>
      <c r="I16" s="120"/>
      <c r="J16" s="114"/>
      <c r="K16" s="50"/>
      <c r="L16" s="50"/>
      <c r="M16" s="50"/>
      <c r="N16" s="50"/>
      <c r="O16" s="50"/>
      <c r="P16" s="50"/>
      <c r="Q16" s="50"/>
      <c r="R16" s="50"/>
      <c r="S16" s="50"/>
      <c r="T16" s="50"/>
      <c r="U16" s="50"/>
      <c r="V16" s="50"/>
      <c r="W16" s="98"/>
      <c r="X16" s="50"/>
      <c r="Y16" s="98"/>
      <c r="Z16" s="50"/>
      <c r="AA16" s="98"/>
      <c r="AB16" s="126" t="s">
        <v>50</v>
      </c>
      <c r="AC16" s="119"/>
      <c r="AE16" s="3"/>
      <c r="AF16" s="3"/>
    </row>
    <row r="17" spans="1:32" s="50" customFormat="1">
      <c r="A17" s="55"/>
      <c r="B17" s="380" t="s">
        <v>169</v>
      </c>
      <c r="C17" s="381"/>
      <c r="D17" s="111"/>
      <c r="E17" s="37"/>
      <c r="F17" s="37"/>
      <c r="G17" s="37"/>
      <c r="H17" s="212" t="str">
        <f>VLOOKUP(B17,dbf_Ctrl,2,FALSE)</f>
        <v>None</v>
      </c>
      <c r="I17" s="40" t="s">
        <v>36</v>
      </c>
      <c r="J17" s="114"/>
      <c r="K17" s="50" t="s">
        <v>162</v>
      </c>
      <c r="W17" s="98"/>
      <c r="Y17" s="128" t="s">
        <v>163</v>
      </c>
      <c r="Z17" s="129"/>
      <c r="AA17" s="117"/>
      <c r="AB17" s="130">
        <f>VLOOKUP(B17,dbf_Ctrl,3,FALSE)</f>
        <v>0</v>
      </c>
      <c r="AC17" s="119" t="s">
        <v>39</v>
      </c>
      <c r="AE17" s="49"/>
      <c r="AF17" s="3"/>
    </row>
    <row r="18" spans="1:32">
      <c r="A18" s="55"/>
      <c r="B18" s="55"/>
      <c r="C18" s="55"/>
      <c r="D18" s="55"/>
      <c r="E18" s="55"/>
      <c r="F18" s="55"/>
      <c r="G18" s="55"/>
      <c r="H18" s="55"/>
      <c r="I18" s="131"/>
      <c r="J18" s="114"/>
      <c r="K18" s="121"/>
      <c r="L18" s="121"/>
      <c r="M18" s="121"/>
      <c r="N18" s="121"/>
      <c r="O18" s="121"/>
      <c r="P18" s="121"/>
      <c r="Q18" s="121"/>
      <c r="R18" s="121"/>
      <c r="S18" s="121"/>
      <c r="T18" s="121"/>
      <c r="U18" s="121"/>
      <c r="V18" s="121"/>
      <c r="W18" s="122"/>
      <c r="X18" s="121"/>
      <c r="Y18" s="122"/>
      <c r="Z18" s="121"/>
      <c r="AA18" s="122"/>
      <c r="AB18" s="124"/>
      <c r="AC18" s="119"/>
      <c r="AF18" s="3"/>
    </row>
    <row r="19" spans="1:32">
      <c r="A19" s="55"/>
      <c r="B19" s="55"/>
      <c r="C19" s="55"/>
      <c r="D19" s="55"/>
      <c r="E19" s="55"/>
      <c r="F19" s="55"/>
      <c r="G19" s="55"/>
      <c r="H19" s="55"/>
      <c r="I19" s="120"/>
      <c r="J19" s="114"/>
      <c r="K19" s="50"/>
      <c r="L19" s="50"/>
      <c r="M19" s="50"/>
      <c r="N19" s="50"/>
      <c r="O19" s="50"/>
      <c r="P19" s="50"/>
      <c r="Q19" s="50"/>
      <c r="R19" s="50"/>
      <c r="S19" s="50"/>
      <c r="T19" s="50"/>
      <c r="U19" s="50"/>
      <c r="V19" s="50"/>
      <c r="W19" s="98"/>
      <c r="X19" s="50"/>
      <c r="Y19" s="98"/>
      <c r="Z19" s="50"/>
      <c r="AA19" s="98"/>
      <c r="AB19" s="99"/>
      <c r="AC19" s="119"/>
      <c r="AE19" s="3"/>
      <c r="AF19" s="3"/>
    </row>
    <row r="20" spans="1:32" ht="15.75">
      <c r="A20" s="55"/>
      <c r="B20" s="29" t="s">
        <v>165</v>
      </c>
      <c r="C20" s="30"/>
      <c r="D20" s="55"/>
      <c r="E20" s="55"/>
      <c r="G20" s="65" t="s">
        <v>156</v>
      </c>
      <c r="H20" s="31" t="s">
        <v>166</v>
      </c>
      <c r="I20" s="120"/>
      <c r="J20" s="114"/>
      <c r="K20" s="50" t="s">
        <v>167</v>
      </c>
      <c r="L20" s="50"/>
      <c r="M20" s="50"/>
      <c r="N20" s="50"/>
      <c r="O20" s="50"/>
      <c r="P20" s="50"/>
      <c r="Q20" s="50"/>
      <c r="R20" s="50"/>
      <c r="S20" s="50"/>
      <c r="T20" s="50"/>
      <c r="U20" s="50"/>
      <c r="V20" s="128" t="s">
        <v>168</v>
      </c>
      <c r="W20" s="98"/>
      <c r="X20" s="132" t="s">
        <v>38</v>
      </c>
      <c r="Y20" s="98"/>
      <c r="Z20" s="132" t="s">
        <v>192</v>
      </c>
      <c r="AA20" s="98"/>
      <c r="AB20" s="126" t="s">
        <v>55</v>
      </c>
      <c r="AC20" s="119"/>
      <c r="AF20" s="3"/>
    </row>
    <row r="21" spans="1:32" s="50" customFormat="1">
      <c r="A21" s="55"/>
      <c r="B21" s="380" t="s">
        <v>169</v>
      </c>
      <c r="C21" s="381"/>
      <c r="D21" s="111"/>
      <c r="E21" s="37"/>
      <c r="F21" s="37"/>
      <c r="G21" s="39">
        <f>VLOOKUP(B21,dbf_Boilers,2,FALSE)</f>
        <v>0</v>
      </c>
      <c r="H21" s="39">
        <f>VLOOKUP(B21,dbf_Boilers,3,FALSE)</f>
        <v>0</v>
      </c>
      <c r="I21" s="40" t="s">
        <v>36</v>
      </c>
      <c r="J21" s="114"/>
      <c r="K21" s="134" t="s">
        <v>292</v>
      </c>
      <c r="U21" s="135" t="s">
        <v>51</v>
      </c>
      <c r="V21" s="136">
        <f>H21</f>
        <v>0</v>
      </c>
      <c r="W21" s="117" t="s">
        <v>52</v>
      </c>
      <c r="X21" s="118">
        <f>AB13</f>
        <v>80</v>
      </c>
      <c r="Y21" s="117" t="s">
        <v>53</v>
      </c>
      <c r="Z21" s="213">
        <f>G13/(G13+G21)*VLOOKUP(G13/(G13+G21),Tbl6_SH_Ext,IF(C22="Yes",6,4),TRUE)+VLOOKUP(G13/(G13+G21),Tbl6_SH_Ext,IF(C22="Yes",7,5),TRUE)</f>
        <v>0</v>
      </c>
      <c r="AA21" s="214" t="s">
        <v>54</v>
      </c>
      <c r="AB21" s="130">
        <f>IF(B21&lt;&gt;"None",(V21-X21)*Z21,0)</f>
        <v>0</v>
      </c>
      <c r="AC21" s="119" t="s">
        <v>39</v>
      </c>
      <c r="AF21" s="3"/>
    </row>
    <row r="22" spans="1:32">
      <c r="A22" s="55"/>
      <c r="B22" s="65" t="s">
        <v>194</v>
      </c>
      <c r="C22" s="144" t="s">
        <v>259</v>
      </c>
      <c r="D22" s="50"/>
      <c r="E22" s="55"/>
      <c r="F22" s="55"/>
      <c r="G22" s="55"/>
      <c r="H22" s="55"/>
      <c r="I22" s="131"/>
      <c r="J22" s="114"/>
      <c r="K22" s="121"/>
      <c r="L22" s="121"/>
      <c r="M22" s="121"/>
      <c r="N22" s="121"/>
      <c r="O22" s="121"/>
      <c r="P22" s="121"/>
      <c r="Q22" s="121"/>
      <c r="R22" s="121"/>
      <c r="S22" s="121"/>
      <c r="T22" s="121"/>
      <c r="U22" s="121"/>
      <c r="V22" s="121"/>
      <c r="W22" s="122"/>
      <c r="X22" s="121"/>
      <c r="Y22" s="122"/>
      <c r="Z22" s="121"/>
      <c r="AA22" s="122"/>
      <c r="AB22" s="124"/>
      <c r="AC22" s="119"/>
      <c r="AE22" s="3"/>
      <c r="AF22" s="3"/>
    </row>
    <row r="23" spans="1:32">
      <c r="A23" s="55"/>
      <c r="B23" s="55"/>
      <c r="C23" s="55"/>
      <c r="D23" s="55"/>
      <c r="E23" s="55"/>
      <c r="F23" s="55"/>
      <c r="G23" s="55"/>
      <c r="H23" s="55"/>
      <c r="I23" s="120"/>
      <c r="J23" s="114"/>
      <c r="K23" s="50"/>
      <c r="L23" s="50"/>
      <c r="M23" s="50"/>
      <c r="N23" s="50"/>
      <c r="O23" s="50"/>
      <c r="P23" s="50"/>
      <c r="Q23" s="50"/>
      <c r="R23" s="50"/>
      <c r="S23" s="50"/>
      <c r="T23" s="50"/>
      <c r="U23" s="50"/>
      <c r="V23" s="50"/>
      <c r="W23" s="98"/>
      <c r="X23" s="50"/>
      <c r="Y23" s="98"/>
      <c r="Z23" s="50"/>
      <c r="AA23" s="98"/>
      <c r="AB23" s="99"/>
      <c r="AC23" s="119"/>
      <c r="AE23" s="3"/>
      <c r="AF23" s="3"/>
    </row>
    <row r="24" spans="1:32">
      <c r="A24" s="55"/>
      <c r="B24" s="55"/>
      <c r="C24" s="55"/>
      <c r="D24" s="55"/>
      <c r="E24" s="65"/>
      <c r="F24" s="65"/>
      <c r="G24" s="65"/>
      <c r="H24" s="65"/>
      <c r="I24" s="120"/>
      <c r="J24" s="114"/>
      <c r="K24" s="50" t="s">
        <v>175</v>
      </c>
      <c r="L24" s="50"/>
      <c r="M24" s="50"/>
      <c r="N24" s="50"/>
      <c r="O24" s="50"/>
      <c r="P24" s="50"/>
      <c r="Q24" s="50"/>
      <c r="R24" s="50"/>
      <c r="S24" s="50"/>
      <c r="T24" s="50"/>
      <c r="U24" s="50"/>
      <c r="V24" s="50"/>
      <c r="W24" s="98"/>
      <c r="X24" s="50"/>
      <c r="Y24" s="98"/>
      <c r="Z24" s="50"/>
      <c r="AA24" s="98"/>
      <c r="AB24" s="99"/>
      <c r="AC24" s="119"/>
      <c r="AE24" s="3"/>
      <c r="AF24" s="3"/>
    </row>
    <row r="25" spans="1:32" ht="15.75">
      <c r="A25" s="55"/>
      <c r="B25" s="54" t="s">
        <v>171</v>
      </c>
      <c r="C25" s="55"/>
      <c r="D25" s="55"/>
      <c r="G25" s="65" t="s">
        <v>172</v>
      </c>
      <c r="H25" s="65" t="s">
        <v>173</v>
      </c>
      <c r="I25" s="120"/>
      <c r="J25" s="114"/>
      <c r="K25" s="50"/>
      <c r="L25" s="50"/>
      <c r="M25" s="50"/>
      <c r="N25" s="137" t="s">
        <v>179</v>
      </c>
      <c r="O25" s="137"/>
      <c r="P25" s="137" t="s">
        <v>180</v>
      </c>
      <c r="Q25" s="137"/>
      <c r="R25" s="137" t="s">
        <v>181</v>
      </c>
      <c r="S25" s="137"/>
      <c r="T25" s="137" t="s">
        <v>182</v>
      </c>
      <c r="U25" s="137"/>
      <c r="V25" s="137"/>
      <c r="W25" s="137"/>
      <c r="X25" s="137" t="s">
        <v>183</v>
      </c>
      <c r="Y25" s="98"/>
      <c r="Z25" s="137" t="s">
        <v>184</v>
      </c>
      <c r="AA25" s="98"/>
      <c r="AB25" s="126" t="s">
        <v>185</v>
      </c>
      <c r="AC25" s="138"/>
      <c r="AE25" s="3"/>
      <c r="AF25" s="3"/>
    </row>
    <row r="26" spans="1:32">
      <c r="A26" s="55"/>
      <c r="B26" s="380" t="s">
        <v>271</v>
      </c>
      <c r="C26" s="381"/>
      <c r="D26" s="111"/>
      <c r="E26" s="38"/>
      <c r="F26" s="38"/>
      <c r="G26" s="39">
        <f>VLOOKUP(B26,dbf_SolCol,2,FALSE)</f>
        <v>10</v>
      </c>
      <c r="H26" s="39">
        <f>VLOOKUP(B26,dbf_SolCol,3,FALSE)</f>
        <v>60</v>
      </c>
      <c r="I26" s="40" t="s">
        <v>36</v>
      </c>
      <c r="J26" s="114"/>
      <c r="K26" s="50"/>
      <c r="L26" s="50"/>
      <c r="M26" s="132" t="s">
        <v>51</v>
      </c>
      <c r="N26" s="139">
        <f>294/(11*G13)</f>
        <v>5.3454545454545457</v>
      </c>
      <c r="O26" s="140" t="s">
        <v>7</v>
      </c>
      <c r="P26" s="141">
        <f>G26</f>
        <v>10</v>
      </c>
      <c r="Q26" s="140" t="s">
        <v>115</v>
      </c>
      <c r="R26" s="139">
        <f>115/(11*G13)</f>
        <v>2.0909090909090908</v>
      </c>
      <c r="S26" s="142" t="s">
        <v>7</v>
      </c>
      <c r="T26" s="136">
        <f>G28</f>
        <v>0.5</v>
      </c>
      <c r="U26" s="142" t="s">
        <v>53</v>
      </c>
      <c r="V26" s="55">
        <v>0.7</v>
      </c>
      <c r="W26" s="142" t="s">
        <v>7</v>
      </c>
      <c r="X26" s="141">
        <f>H26/100</f>
        <v>0.6</v>
      </c>
      <c r="Y26" s="140" t="s">
        <v>7</v>
      </c>
      <c r="Z26" s="143">
        <f>VLOOKUP(H28,dbf_Tankrating,2,FALSE)</f>
        <v>0.86</v>
      </c>
      <c r="AA26" s="140" t="s">
        <v>54</v>
      </c>
      <c r="AB26" s="130">
        <f>IF(B26&lt;&gt;"None",(N26*P26+R26*T26)*V26*X26*Z26,0)</f>
        <v>19.685399999999998</v>
      </c>
      <c r="AC26" s="119" t="s">
        <v>39</v>
      </c>
      <c r="AD26" s="50"/>
      <c r="AE26" s="3"/>
      <c r="AF26" s="3"/>
    </row>
    <row r="27" spans="1:32" ht="15.75">
      <c r="A27" s="55"/>
      <c r="B27" s="54" t="s">
        <v>176</v>
      </c>
      <c r="C27" s="55"/>
      <c r="D27" s="55"/>
      <c r="E27" s="30"/>
      <c r="G27" s="65" t="s">
        <v>177</v>
      </c>
      <c r="H27" s="65" t="s">
        <v>178</v>
      </c>
      <c r="I27" s="120"/>
      <c r="J27" s="114"/>
      <c r="AC27" s="119"/>
      <c r="AE27" s="3"/>
      <c r="AF27" s="3"/>
    </row>
    <row r="28" spans="1:32" ht="13.5" thickBot="1">
      <c r="A28" s="55"/>
      <c r="B28" s="380" t="s">
        <v>284</v>
      </c>
      <c r="C28" s="381"/>
      <c r="D28" s="37"/>
      <c r="E28" s="37"/>
      <c r="F28" s="38"/>
      <c r="G28" s="39">
        <f>VLOOKUP(B28,dbf_HWST,2,FALSE)/1000</f>
        <v>0.5</v>
      </c>
      <c r="H28" s="39" t="str">
        <f>VLOOKUP(B28,dbf_HWST,3,FALSE)</f>
        <v>B</v>
      </c>
      <c r="I28" s="40" t="s">
        <v>36</v>
      </c>
      <c r="J28" s="114"/>
      <c r="K28" s="121"/>
      <c r="L28" s="121"/>
      <c r="M28" s="121"/>
      <c r="N28" s="121"/>
      <c r="O28" s="145"/>
      <c r="P28" s="121"/>
      <c r="Q28" s="121"/>
      <c r="R28" s="121"/>
      <c r="S28" s="145"/>
      <c r="T28" s="121"/>
      <c r="U28" s="145"/>
      <c r="V28" s="121"/>
      <c r="W28" s="123"/>
      <c r="X28" s="121"/>
      <c r="Y28" s="122"/>
      <c r="Z28" s="121"/>
      <c r="AA28" s="123"/>
      <c r="AB28" s="147"/>
      <c r="AC28" s="148" t="s">
        <v>115</v>
      </c>
      <c r="AE28" s="3"/>
      <c r="AF28" s="3"/>
    </row>
    <row r="29" spans="1:32">
      <c r="A29" s="55"/>
      <c r="B29" s="105"/>
      <c r="C29" s="215"/>
      <c r="D29" s="55"/>
      <c r="E29" s="55"/>
      <c r="F29" s="65"/>
      <c r="G29" s="65"/>
      <c r="H29" s="55"/>
      <c r="I29" s="120"/>
      <c r="J29" s="114"/>
      <c r="K29" s="50"/>
      <c r="L29" s="50"/>
      <c r="M29" s="50"/>
      <c r="N29" s="50"/>
      <c r="O29" s="135"/>
      <c r="P29" s="50"/>
      <c r="Q29" s="50"/>
      <c r="R29" s="50"/>
      <c r="S29" s="135"/>
      <c r="T29" s="50"/>
      <c r="U29" s="135"/>
      <c r="V29" s="50"/>
      <c r="W29" s="117"/>
      <c r="X29" s="50"/>
      <c r="Y29" s="98"/>
      <c r="Z29" s="50"/>
      <c r="AA29" s="117"/>
      <c r="AB29" s="126" t="s">
        <v>193</v>
      </c>
      <c r="AC29" s="119"/>
      <c r="AE29" s="3"/>
      <c r="AF29" s="3"/>
    </row>
    <row r="30" spans="1:32" ht="15">
      <c r="A30" s="55"/>
      <c r="B30" s="55"/>
      <c r="C30" s="55"/>
      <c r="D30" s="55"/>
      <c r="G30"/>
      <c r="H30"/>
      <c r="I30"/>
      <c r="J30" s="114"/>
      <c r="K30" s="50" t="s">
        <v>202</v>
      </c>
      <c r="L30" s="50"/>
      <c r="M30" s="50"/>
      <c r="N30" s="50"/>
      <c r="O30" s="50"/>
      <c r="P30" s="50"/>
      <c r="Q30" s="50"/>
      <c r="R30" s="50"/>
      <c r="S30" s="50"/>
      <c r="T30" s="50"/>
      <c r="U30" s="50"/>
      <c r="V30" s="50"/>
      <c r="W30" s="98"/>
      <c r="X30" s="50"/>
      <c r="Y30" s="98"/>
      <c r="Z30" s="50"/>
      <c r="AA30" s="98"/>
      <c r="AB30" s="130">
        <f>SUM(AB13:AB26)</f>
        <v>99.685400000000001</v>
      </c>
      <c r="AC30" s="119" t="s">
        <v>39</v>
      </c>
      <c r="AE30" s="3"/>
      <c r="AF30" s="3"/>
    </row>
    <row r="31" spans="1:32">
      <c r="A31" s="55"/>
      <c r="F31" s="55"/>
      <c r="G31" s="65"/>
      <c r="H31" s="55"/>
      <c r="I31" s="30"/>
      <c r="J31" s="114"/>
      <c r="K31" s="121"/>
      <c r="L31" s="121"/>
      <c r="M31" s="121"/>
      <c r="N31" s="121"/>
      <c r="O31" s="121"/>
      <c r="P31" s="121"/>
      <c r="Q31" s="121"/>
      <c r="R31" s="121"/>
      <c r="S31" s="121"/>
      <c r="T31" s="121"/>
      <c r="U31" s="121"/>
      <c r="V31" s="121"/>
      <c r="W31" s="122"/>
      <c r="X31" s="121"/>
      <c r="Y31" s="122"/>
      <c r="Z31" s="121"/>
      <c r="AA31" s="122"/>
      <c r="AB31" s="150"/>
      <c r="AC31" s="119"/>
      <c r="AE31" s="3"/>
      <c r="AF31" s="3"/>
    </row>
    <row r="32" spans="1:32" s="50" customFormat="1">
      <c r="B32" s="55"/>
      <c r="C32" s="55"/>
      <c r="D32" s="55"/>
      <c r="E32" s="2"/>
      <c r="F32" s="55"/>
      <c r="G32" s="65"/>
      <c r="H32" s="55"/>
      <c r="I32" s="30"/>
      <c r="J32" s="114"/>
      <c r="W32" s="98"/>
      <c r="Y32" s="98"/>
      <c r="AA32" s="98"/>
      <c r="AB32" s="151"/>
      <c r="AC32" s="152"/>
      <c r="AD32" s="2"/>
      <c r="AE32" s="3"/>
      <c r="AF32" s="3"/>
    </row>
    <row r="33" spans="2:36" s="50" customFormat="1">
      <c r="C33" s="3"/>
      <c r="D33" s="3"/>
      <c r="F33" s="55"/>
      <c r="G33" s="65"/>
      <c r="J33" s="114"/>
      <c r="K33" s="50" t="s">
        <v>203</v>
      </c>
      <c r="W33" s="98"/>
      <c r="Y33" s="98"/>
      <c r="AA33" s="98"/>
      <c r="AB33" s="151"/>
      <c r="AC33" s="152"/>
      <c r="AD33" s="2"/>
      <c r="AE33" s="3"/>
      <c r="AF33" s="3"/>
    </row>
    <row r="34" spans="2:36">
      <c r="B34" s="50"/>
      <c r="C34" s="3"/>
      <c r="D34" s="3"/>
      <c r="E34" s="50"/>
      <c r="F34" s="55"/>
      <c r="G34" s="65"/>
      <c r="H34" s="50"/>
      <c r="I34" s="50"/>
      <c r="J34" s="114"/>
      <c r="K34" s="50"/>
      <c r="L34" s="50"/>
      <c r="M34" s="50"/>
      <c r="N34" s="50"/>
      <c r="O34" s="50"/>
      <c r="P34" s="50"/>
      <c r="Q34" s="50"/>
      <c r="R34" s="50"/>
      <c r="S34" s="50"/>
      <c r="T34" s="50"/>
      <c r="U34" s="50"/>
      <c r="V34" s="50"/>
      <c r="W34" s="98"/>
      <c r="X34" s="50"/>
      <c r="Y34" s="98"/>
      <c r="Z34" s="50"/>
      <c r="AA34" s="98"/>
      <c r="AB34" s="99"/>
      <c r="AC34" s="119"/>
      <c r="AE34" s="3"/>
      <c r="AF34" s="3"/>
    </row>
    <row r="35" spans="2:36" ht="15.75">
      <c r="C35" s="3"/>
      <c r="D35" s="3"/>
      <c r="G35" s="65" t="s">
        <v>58</v>
      </c>
      <c r="H35" s="68" t="str">
        <f>LOOKUP(AB30,tbl1_S,tbl12_R)</f>
        <v>A+</v>
      </c>
      <c r="I35" s="30" t="s">
        <v>56</v>
      </c>
      <c r="J35" s="114"/>
      <c r="K35" s="50"/>
      <c r="L35" s="153" t="str">
        <f>IF($H$35=L36,"▼","")</f>
        <v/>
      </c>
      <c r="M35" s="154"/>
      <c r="N35" s="153" t="str">
        <f>IF($H$35=N36,"▼","")</f>
        <v/>
      </c>
      <c r="O35" s="154"/>
      <c r="P35" s="153" t="str">
        <f>IF($H$35=P36,"▼","")</f>
        <v/>
      </c>
      <c r="Q35" s="154"/>
      <c r="R35" s="153" t="str">
        <f>IF($H$35=R36,"▼","")</f>
        <v/>
      </c>
      <c r="S35" s="154"/>
      <c r="T35" s="153" t="str">
        <f>IF($H$35=T36,"▼","")</f>
        <v/>
      </c>
      <c r="U35" s="154"/>
      <c r="V35" s="153" t="str">
        <f>IF($H$35=V36,"▼","")</f>
        <v/>
      </c>
      <c r="W35" s="154"/>
      <c r="X35" s="153" t="str">
        <f>IF($H$35=X36,"▼","")</f>
        <v>▼</v>
      </c>
      <c r="Y35" s="154"/>
      <c r="Z35" s="153" t="str">
        <f>IF($H$35=Z36,"▼","")</f>
        <v/>
      </c>
      <c r="AA35" s="154"/>
      <c r="AB35" s="216" t="str">
        <f>IF($H$35=AB36,"▼","")</f>
        <v/>
      </c>
      <c r="AC35" s="119"/>
    </row>
    <row r="36" spans="2:36">
      <c r="J36" s="114"/>
      <c r="K36" s="50"/>
      <c r="L36" s="156" t="s">
        <v>60</v>
      </c>
      <c r="M36" s="157"/>
      <c r="N36" s="156" t="s">
        <v>61</v>
      </c>
      <c r="O36" s="157"/>
      <c r="P36" s="156" t="s">
        <v>62</v>
      </c>
      <c r="Q36" s="157"/>
      <c r="R36" s="156" t="s">
        <v>63</v>
      </c>
      <c r="S36" s="157"/>
      <c r="T36" s="156" t="s">
        <v>64</v>
      </c>
      <c r="U36" s="157"/>
      <c r="V36" s="156" t="s">
        <v>65</v>
      </c>
      <c r="W36" s="157"/>
      <c r="X36" s="156" t="s">
        <v>66</v>
      </c>
      <c r="Y36" s="157"/>
      <c r="Z36" s="156" t="s">
        <v>67</v>
      </c>
      <c r="AA36" s="157"/>
      <c r="AB36" s="158" t="s">
        <v>68</v>
      </c>
      <c r="AC36" s="119"/>
      <c r="AE36" s="3"/>
    </row>
    <row r="37" spans="2:36">
      <c r="J37" s="114"/>
      <c r="K37" s="50"/>
      <c r="L37" s="159" t="s">
        <v>204</v>
      </c>
      <c r="M37" s="160"/>
      <c r="N37" s="159" t="s">
        <v>205</v>
      </c>
      <c r="O37" s="160"/>
      <c r="P37" s="159" t="s">
        <v>489</v>
      </c>
      <c r="Q37" s="160"/>
      <c r="R37" s="159" t="s">
        <v>206</v>
      </c>
      <c r="S37" s="160"/>
      <c r="T37" s="159" t="s">
        <v>207</v>
      </c>
      <c r="U37" s="160"/>
      <c r="V37" s="159" t="s">
        <v>208</v>
      </c>
      <c r="W37" s="160"/>
      <c r="X37" s="159" t="s">
        <v>209</v>
      </c>
      <c r="Y37" s="160"/>
      <c r="Z37" s="159" t="s">
        <v>210</v>
      </c>
      <c r="AA37" s="160"/>
      <c r="AB37" s="161" t="s">
        <v>211</v>
      </c>
      <c r="AC37" s="119"/>
      <c r="AE37" s="3"/>
    </row>
    <row r="38" spans="2:36">
      <c r="J38" s="114"/>
      <c r="K38" s="121"/>
      <c r="L38" s="121"/>
      <c r="M38" s="121"/>
      <c r="N38" s="121"/>
      <c r="O38" s="121"/>
      <c r="P38" s="121"/>
      <c r="Q38" s="121"/>
      <c r="R38" s="121"/>
      <c r="S38" s="121"/>
      <c r="T38" s="121"/>
      <c r="U38" s="121"/>
      <c r="V38" s="121"/>
      <c r="W38" s="122"/>
      <c r="X38" s="121"/>
      <c r="Y38" s="122"/>
      <c r="Z38" s="121"/>
      <c r="AA38" s="122"/>
      <c r="AB38" s="124"/>
      <c r="AC38" s="119"/>
      <c r="AE38" s="3"/>
    </row>
    <row r="39" spans="2:36">
      <c r="F39" s="30"/>
      <c r="G39" s="30"/>
      <c r="J39" s="114"/>
      <c r="K39" s="50"/>
      <c r="L39" s="50"/>
      <c r="M39" s="50"/>
      <c r="N39" s="50"/>
      <c r="O39" s="50"/>
      <c r="P39" s="50"/>
      <c r="Q39" s="50"/>
      <c r="R39" s="50"/>
      <c r="S39" s="50"/>
      <c r="T39" s="50"/>
      <c r="U39" s="50"/>
      <c r="V39" s="50"/>
      <c r="W39" s="50"/>
      <c r="X39" s="50"/>
      <c r="Y39" s="50"/>
      <c r="Z39" s="50"/>
      <c r="AA39" s="50"/>
      <c r="AB39" s="50"/>
      <c r="AC39" s="138"/>
      <c r="AD39" s="50"/>
    </row>
    <row r="40" spans="2:36">
      <c r="J40" s="114"/>
      <c r="K40" s="50"/>
      <c r="L40" s="50"/>
      <c r="M40" s="50"/>
      <c r="N40" s="50"/>
      <c r="O40" s="50"/>
      <c r="P40" s="50"/>
      <c r="Q40" s="50"/>
      <c r="R40" s="50"/>
      <c r="S40" s="50"/>
      <c r="T40" s="50"/>
      <c r="U40" s="50"/>
      <c r="V40" s="50"/>
      <c r="W40" s="50"/>
      <c r="X40" s="50"/>
      <c r="Y40" s="50"/>
      <c r="Z40" s="50"/>
      <c r="AA40" s="50"/>
      <c r="AB40" s="50"/>
      <c r="AC40" s="138"/>
    </row>
    <row r="41" spans="2:36">
      <c r="B41" s="162"/>
      <c r="J41" s="114"/>
      <c r="K41" s="50"/>
      <c r="L41" s="50"/>
      <c r="M41" s="50"/>
      <c r="N41" s="50"/>
      <c r="O41" s="50"/>
      <c r="P41" s="50"/>
      <c r="Q41" s="50"/>
      <c r="R41" s="50"/>
      <c r="S41" s="50"/>
      <c r="T41" s="50"/>
      <c r="U41" s="50"/>
      <c r="V41" s="50"/>
      <c r="W41" s="50"/>
      <c r="X41" s="50"/>
      <c r="Y41" s="50"/>
      <c r="Z41" s="50"/>
      <c r="AA41" s="50"/>
      <c r="AB41" s="50"/>
      <c r="AC41" s="138"/>
    </row>
    <row r="42" spans="2:36">
      <c r="B42" s="162"/>
      <c r="C42" s="5"/>
      <c r="J42" s="114"/>
      <c r="K42" s="50"/>
      <c r="L42" s="50"/>
      <c r="M42" s="50"/>
      <c r="N42" s="50"/>
      <c r="O42" s="50"/>
      <c r="P42" s="50"/>
      <c r="Q42" s="50"/>
      <c r="R42" s="50"/>
      <c r="S42" s="50"/>
      <c r="T42" s="50"/>
      <c r="U42" s="50"/>
      <c r="V42" s="50"/>
      <c r="W42" s="50"/>
      <c r="X42" s="50"/>
      <c r="Y42" s="50"/>
      <c r="Z42" s="50"/>
      <c r="AA42" s="50"/>
      <c r="AB42" s="50"/>
      <c r="AC42" s="138"/>
    </row>
    <row r="43" spans="2:36" ht="13.5" thickBot="1">
      <c r="B43" s="162"/>
      <c r="C43" s="166"/>
      <c r="H43" s="3"/>
      <c r="J43" s="179"/>
      <c r="K43" s="180"/>
      <c r="L43" s="180"/>
      <c r="M43" s="180"/>
      <c r="N43" s="180"/>
      <c r="O43" s="180"/>
      <c r="P43" s="180"/>
      <c r="Q43" s="180"/>
      <c r="R43" s="180"/>
      <c r="S43" s="180"/>
      <c r="T43" s="180"/>
      <c r="U43" s="180"/>
      <c r="V43" s="180"/>
      <c r="W43" s="180"/>
      <c r="X43" s="180"/>
      <c r="Y43" s="180"/>
      <c r="Z43" s="180"/>
      <c r="AA43" s="180"/>
      <c r="AB43" s="180"/>
      <c r="AC43" s="217"/>
      <c r="AD43" s="50"/>
    </row>
    <row r="44" spans="2:36" ht="15">
      <c r="B44"/>
      <c r="C44"/>
      <c r="D44"/>
      <c r="E44"/>
      <c r="F44"/>
      <c r="H44" s="3"/>
      <c r="J44" s="50"/>
      <c r="K44" s="50"/>
      <c r="L44" s="50"/>
      <c r="M44" s="50"/>
      <c r="N44" s="50"/>
      <c r="O44" s="50"/>
      <c r="Q44" s="50"/>
      <c r="R44" s="50"/>
      <c r="S44" s="50"/>
      <c r="T44" s="50"/>
      <c r="U44" s="50"/>
      <c r="V44" s="50"/>
      <c r="W44" s="98"/>
      <c r="X44" s="50"/>
      <c r="Y44" s="98"/>
      <c r="Z44" s="50"/>
      <c r="AA44" s="98"/>
      <c r="AB44" s="99"/>
      <c r="AC44" s="98"/>
      <c r="AD44" s="50"/>
      <c r="AE44" t="s">
        <v>471</v>
      </c>
    </row>
    <row r="45" spans="2:36" ht="11.25" customHeight="1">
      <c r="B45"/>
      <c r="C45"/>
      <c r="D45"/>
      <c r="E45"/>
      <c r="F45"/>
      <c r="H45" s="3"/>
      <c r="K45" s="50"/>
      <c r="L45" s="50"/>
      <c r="M45" s="50"/>
      <c r="N45" s="50"/>
      <c r="O45" s="50"/>
      <c r="Q45" s="50"/>
      <c r="R45" s="50"/>
      <c r="S45" s="50"/>
      <c r="T45" s="50"/>
      <c r="U45" s="50"/>
      <c r="V45" s="50"/>
      <c r="W45" s="98"/>
      <c r="X45" s="50"/>
      <c r="Y45" s="98"/>
      <c r="Z45" s="50"/>
      <c r="AA45" s="98"/>
      <c r="AB45" s="99"/>
      <c r="AC45" s="98"/>
      <c r="AE45" s="369" t="s">
        <v>472</v>
      </c>
      <c r="AF45"/>
      <c r="AG45"/>
      <c r="AH45"/>
      <c r="AI45"/>
      <c r="AJ45"/>
    </row>
    <row r="46" spans="2:36" ht="15">
      <c r="B46"/>
      <c r="C46"/>
      <c r="D46"/>
      <c r="E46"/>
      <c r="F46"/>
      <c r="H46" s="3"/>
      <c r="K46" s="50"/>
      <c r="L46" s="50"/>
      <c r="M46" s="50"/>
      <c r="N46" s="50"/>
      <c r="O46" s="50"/>
      <c r="Q46" s="50"/>
      <c r="R46" s="50"/>
      <c r="S46" s="50"/>
      <c r="T46" s="50"/>
      <c r="U46" s="50"/>
      <c r="V46" s="50"/>
      <c r="W46" s="98"/>
      <c r="X46" s="50"/>
      <c r="Y46" s="98"/>
      <c r="Z46" s="50"/>
      <c r="AA46" s="98"/>
      <c r="AB46" s="99"/>
      <c r="AC46" s="98"/>
      <c r="AE46"/>
      <c r="AF46"/>
      <c r="AG46"/>
      <c r="AH46"/>
      <c r="AI46"/>
      <c r="AJ46"/>
    </row>
    <row r="47" spans="2:36" ht="15">
      <c r="B47"/>
      <c r="C47"/>
      <c r="D47"/>
      <c r="E47"/>
      <c r="F47"/>
      <c r="H47" s="3"/>
      <c r="I47" s="50"/>
      <c r="K47" s="50"/>
      <c r="L47" s="50"/>
      <c r="M47" s="50"/>
      <c r="N47" s="50"/>
      <c r="O47" s="50"/>
      <c r="Q47" s="50"/>
      <c r="R47" s="50"/>
      <c r="S47" s="50"/>
      <c r="T47" s="50"/>
      <c r="U47" s="50"/>
      <c r="V47" s="50"/>
      <c r="W47" s="98"/>
      <c r="X47" s="50"/>
      <c r="Y47" s="98"/>
      <c r="Z47" s="50"/>
      <c r="AA47" s="98"/>
      <c r="AB47" s="99"/>
      <c r="AC47" s="98"/>
      <c r="AE47"/>
      <c r="AF47"/>
      <c r="AG47"/>
      <c r="AH47"/>
      <c r="AI47"/>
      <c r="AJ47"/>
    </row>
    <row r="48" spans="2:36" ht="15">
      <c r="B48"/>
      <c r="C48"/>
      <c r="D48"/>
      <c r="E48"/>
      <c r="F48"/>
      <c r="H48" s="3"/>
      <c r="K48" s="50"/>
      <c r="L48" s="50"/>
      <c r="M48" s="50"/>
      <c r="N48" s="50"/>
      <c r="O48" s="50"/>
      <c r="P48" s="50"/>
      <c r="Q48" s="50"/>
      <c r="R48" s="50"/>
      <c r="S48" s="50"/>
      <c r="T48" s="50"/>
      <c r="U48" s="50"/>
      <c r="V48" s="50"/>
      <c r="W48" s="98"/>
      <c r="X48" s="50"/>
      <c r="Y48" s="98"/>
      <c r="Z48" s="50"/>
      <c r="AA48" s="98"/>
      <c r="AB48" s="99"/>
      <c r="AC48" s="98"/>
      <c r="AE48"/>
      <c r="AF48"/>
      <c r="AG48"/>
      <c r="AH48"/>
      <c r="AI48"/>
      <c r="AJ48"/>
    </row>
    <row r="49" spans="1:36" ht="15">
      <c r="A49" s="50"/>
      <c r="B49"/>
      <c r="C49"/>
      <c r="D49"/>
      <c r="E49"/>
      <c r="F49"/>
      <c r="G49" s="3"/>
      <c r="H49" s="50"/>
      <c r="I49" s="50"/>
      <c r="K49" s="50"/>
      <c r="L49" s="50"/>
      <c r="M49" s="50"/>
      <c r="N49" s="50"/>
      <c r="O49" s="50"/>
      <c r="P49" s="50"/>
      <c r="Q49" s="50"/>
      <c r="R49" s="50"/>
      <c r="S49" s="50"/>
      <c r="T49" s="50"/>
      <c r="U49" s="50"/>
      <c r="V49" s="50"/>
      <c r="W49" s="98"/>
      <c r="X49" s="50"/>
      <c r="Y49" s="98"/>
      <c r="Z49" s="50"/>
      <c r="AA49" s="98"/>
      <c r="AB49" s="99"/>
      <c r="AC49" s="98"/>
      <c r="AE49"/>
      <c r="AF49"/>
      <c r="AG49"/>
      <c r="AH49"/>
      <c r="AI49"/>
      <c r="AJ49"/>
    </row>
    <row r="50" spans="1:36" ht="15">
      <c r="B50"/>
      <c r="C50"/>
      <c r="D50"/>
      <c r="E50"/>
      <c r="F50"/>
      <c r="J50" s="50"/>
      <c r="K50" s="50"/>
      <c r="L50" s="50"/>
      <c r="M50" s="50"/>
      <c r="N50" s="50"/>
      <c r="O50" s="50"/>
      <c r="P50" s="50"/>
      <c r="Q50" s="50"/>
      <c r="R50" s="50"/>
      <c r="S50" s="50"/>
      <c r="T50" s="50"/>
      <c r="U50" s="50"/>
      <c r="V50" s="50"/>
      <c r="W50" s="98"/>
      <c r="X50" s="50"/>
      <c r="Y50" s="98"/>
      <c r="Z50" s="50"/>
      <c r="AA50" s="98"/>
      <c r="AB50" s="99"/>
      <c r="AC50" s="98"/>
      <c r="AE50"/>
      <c r="AF50"/>
      <c r="AG50"/>
      <c r="AH50"/>
      <c r="AI50"/>
      <c r="AJ50"/>
    </row>
    <row r="51" spans="1:36" ht="15">
      <c r="B51"/>
      <c r="C51"/>
      <c r="D51"/>
      <c r="E51"/>
      <c r="F51"/>
      <c r="O51" s="50"/>
      <c r="P51" s="50"/>
      <c r="Q51" s="50"/>
      <c r="R51" s="50"/>
      <c r="S51" s="50"/>
      <c r="T51" s="50"/>
      <c r="U51" s="50"/>
      <c r="V51" s="50"/>
      <c r="W51" s="98"/>
      <c r="X51" s="50"/>
      <c r="Y51" s="98"/>
      <c r="Z51" s="50"/>
      <c r="AA51" s="98"/>
      <c r="AB51" s="99"/>
      <c r="AC51" s="98"/>
      <c r="AE51"/>
      <c r="AF51"/>
      <c r="AG51"/>
      <c r="AH51"/>
      <c r="AI51"/>
      <c r="AJ51"/>
    </row>
    <row r="52" spans="1:36" ht="15">
      <c r="B52"/>
      <c r="C52"/>
      <c r="D52"/>
      <c r="E52"/>
      <c r="F52"/>
      <c r="O52" s="50"/>
      <c r="P52" s="50"/>
      <c r="Q52" s="50"/>
      <c r="R52" s="50"/>
      <c r="S52" s="55"/>
      <c r="T52" s="175"/>
      <c r="U52" s="142"/>
      <c r="V52" s="55"/>
      <c r="W52" s="140"/>
      <c r="X52" s="55"/>
      <c r="Y52" s="140"/>
      <c r="Z52" s="55"/>
      <c r="AA52" s="140"/>
      <c r="AB52" s="151"/>
      <c r="AC52" s="98"/>
      <c r="AE52"/>
      <c r="AF52"/>
      <c r="AG52"/>
      <c r="AH52"/>
      <c r="AI52"/>
      <c r="AJ52"/>
    </row>
    <row r="53" spans="1:36" ht="15">
      <c r="B53"/>
      <c r="C53"/>
      <c r="D53"/>
      <c r="E53"/>
      <c r="F53"/>
      <c r="W53" s="2"/>
      <c r="Y53" s="2"/>
      <c r="AE53"/>
      <c r="AF53"/>
      <c r="AG53"/>
      <c r="AH53"/>
      <c r="AI53"/>
      <c r="AJ53"/>
    </row>
    <row r="54" spans="1:36" ht="15">
      <c r="B54"/>
      <c r="C54"/>
      <c r="D54"/>
      <c r="E54"/>
      <c r="F54"/>
      <c r="W54" s="2"/>
      <c r="Y54" s="2"/>
      <c r="AE54"/>
      <c r="AF54"/>
      <c r="AG54"/>
      <c r="AH54"/>
      <c r="AI54"/>
      <c r="AJ54"/>
    </row>
    <row r="55" spans="1:36" ht="15">
      <c r="B55"/>
      <c r="C55"/>
      <c r="D55"/>
      <c r="E55"/>
      <c r="F55"/>
      <c r="W55" s="2"/>
      <c r="Y55" s="2"/>
      <c r="AE55"/>
      <c r="AF55"/>
      <c r="AG55"/>
      <c r="AH55"/>
      <c r="AI55"/>
      <c r="AJ55"/>
    </row>
    <row r="56" spans="1:36" ht="15">
      <c r="B56"/>
      <c r="C56"/>
      <c r="D56"/>
      <c r="E56"/>
      <c r="F56"/>
      <c r="W56" s="2"/>
      <c r="Y56" s="2"/>
      <c r="AE56"/>
      <c r="AF56"/>
      <c r="AG56"/>
      <c r="AH56"/>
      <c r="AI56"/>
      <c r="AJ56"/>
    </row>
    <row r="57" spans="1:36" ht="15">
      <c r="B57"/>
      <c r="C57"/>
      <c r="D57"/>
      <c r="E57"/>
      <c r="F57"/>
      <c r="W57" s="2"/>
      <c r="Y57" s="2"/>
      <c r="AE57"/>
      <c r="AF57"/>
      <c r="AG57"/>
      <c r="AH57"/>
      <c r="AI57"/>
      <c r="AJ57"/>
    </row>
    <row r="58" spans="1:36" ht="15">
      <c r="B58"/>
      <c r="C58"/>
      <c r="D58"/>
      <c r="E58"/>
      <c r="F58"/>
      <c r="W58" s="2"/>
      <c r="Y58" s="2"/>
      <c r="AE58"/>
      <c r="AF58"/>
      <c r="AG58"/>
      <c r="AH58"/>
      <c r="AI58"/>
      <c r="AJ58"/>
    </row>
    <row r="59" spans="1:36" ht="15">
      <c r="B59"/>
      <c r="C59"/>
      <c r="D59"/>
      <c r="E59"/>
      <c r="F59"/>
      <c r="W59" s="2"/>
      <c r="Y59" s="2"/>
      <c r="AE59"/>
      <c r="AF59"/>
      <c r="AG59"/>
      <c r="AH59"/>
      <c r="AI59"/>
      <c r="AJ59"/>
    </row>
    <row r="60" spans="1:36" ht="15">
      <c r="B60"/>
      <c r="C60"/>
      <c r="D60"/>
      <c r="E60"/>
      <c r="F60"/>
      <c r="W60" s="2"/>
      <c r="Y60" s="2"/>
      <c r="AE60"/>
      <c r="AF60"/>
      <c r="AG60"/>
      <c r="AH60"/>
      <c r="AI60"/>
      <c r="AJ60"/>
    </row>
    <row r="61" spans="1:36" ht="15">
      <c r="B61"/>
      <c r="C61"/>
      <c r="D61"/>
      <c r="E61"/>
      <c r="F61"/>
      <c r="W61" s="2"/>
      <c r="Y61" s="2"/>
      <c r="AE61"/>
      <c r="AF61"/>
      <c r="AG61"/>
      <c r="AH61"/>
      <c r="AI61"/>
      <c r="AJ61"/>
    </row>
    <row r="62" spans="1:36" ht="15">
      <c r="B62"/>
      <c r="C62"/>
      <c r="D62"/>
      <c r="E62"/>
      <c r="F62"/>
      <c r="W62" s="2"/>
      <c r="Y62" s="2"/>
      <c r="AE62"/>
      <c r="AF62"/>
      <c r="AG62"/>
      <c r="AH62"/>
      <c r="AI62"/>
      <c r="AJ62"/>
    </row>
    <row r="63" spans="1:36" ht="15">
      <c r="B63"/>
      <c r="C63"/>
      <c r="D63"/>
      <c r="E63"/>
      <c r="F63"/>
      <c r="W63" s="2"/>
      <c r="Y63" s="2"/>
      <c r="AE63"/>
      <c r="AF63"/>
      <c r="AG63"/>
      <c r="AH63"/>
      <c r="AI63"/>
      <c r="AJ63"/>
    </row>
    <row r="64" spans="1:36" ht="15">
      <c r="B64"/>
      <c r="C64"/>
      <c r="D64"/>
      <c r="E64"/>
      <c r="F64"/>
      <c r="W64" s="2"/>
      <c r="Y64" s="2"/>
      <c r="AE64"/>
      <c r="AF64"/>
      <c r="AG64"/>
      <c r="AH64"/>
      <c r="AI64"/>
      <c r="AJ64"/>
    </row>
    <row r="65" spans="2:36" ht="15">
      <c r="B65"/>
      <c r="C65"/>
      <c r="D65"/>
      <c r="E65"/>
      <c r="F65"/>
      <c r="AE65"/>
      <c r="AF65"/>
      <c r="AG65"/>
      <c r="AH65"/>
      <c r="AI65"/>
      <c r="AJ65"/>
    </row>
    <row r="66" spans="2:36" ht="15">
      <c r="B66"/>
      <c r="C66"/>
      <c r="D66"/>
      <c r="E66"/>
      <c r="F66"/>
      <c r="AE66"/>
      <c r="AF66"/>
      <c r="AG66"/>
      <c r="AH66"/>
      <c r="AI66"/>
      <c r="AJ66"/>
    </row>
    <row r="67" spans="2:36" ht="15">
      <c r="B67"/>
      <c r="C67"/>
      <c r="D67"/>
      <c r="E67"/>
      <c r="F67"/>
      <c r="AE67"/>
      <c r="AF67"/>
      <c r="AG67"/>
      <c r="AH67"/>
      <c r="AI67"/>
      <c r="AJ67"/>
    </row>
    <row r="68" spans="2:36" ht="15">
      <c r="B68"/>
      <c r="C68"/>
      <c r="D68"/>
      <c r="E68"/>
      <c r="F68"/>
      <c r="AE68"/>
      <c r="AF68"/>
      <c r="AG68"/>
      <c r="AH68"/>
      <c r="AI68"/>
      <c r="AJ68"/>
    </row>
    <row r="69" spans="2:36" ht="15">
      <c r="B69"/>
      <c r="C69"/>
      <c r="D69"/>
      <c r="E69"/>
      <c r="F69"/>
      <c r="AE69"/>
      <c r="AF69"/>
      <c r="AG69"/>
      <c r="AH69"/>
      <c r="AI69"/>
      <c r="AJ69"/>
    </row>
    <row r="70" spans="2:36" ht="15">
      <c r="B70"/>
      <c r="C70"/>
      <c r="D70"/>
      <c r="E70"/>
      <c r="F70"/>
      <c r="AE70"/>
      <c r="AF70"/>
      <c r="AG70"/>
      <c r="AH70"/>
      <c r="AI70"/>
      <c r="AJ70"/>
    </row>
    <row r="71" spans="2:36" ht="15">
      <c r="B71"/>
      <c r="C71"/>
      <c r="D71"/>
      <c r="E71"/>
      <c r="F71"/>
      <c r="AE71"/>
      <c r="AF71"/>
      <c r="AG71"/>
      <c r="AH71"/>
      <c r="AI71"/>
      <c r="AJ71"/>
    </row>
    <row r="72" spans="2:36" ht="15">
      <c r="B72"/>
      <c r="C72"/>
      <c r="D72"/>
      <c r="E72"/>
      <c r="F72"/>
      <c r="AE72"/>
      <c r="AF72"/>
      <c r="AG72"/>
      <c r="AH72"/>
      <c r="AI72"/>
      <c r="AJ72"/>
    </row>
    <row r="73" spans="2:36" ht="15">
      <c r="B73"/>
      <c r="C73"/>
      <c r="D73"/>
      <c r="E73"/>
      <c r="F73"/>
      <c r="AE73"/>
      <c r="AF73"/>
      <c r="AG73"/>
      <c r="AH73"/>
      <c r="AI73"/>
      <c r="AJ73"/>
    </row>
    <row r="74" spans="2:36" ht="15">
      <c r="B74"/>
      <c r="C74"/>
      <c r="D74"/>
      <c r="E74"/>
      <c r="F74"/>
      <c r="AE74"/>
      <c r="AF74"/>
      <c r="AG74"/>
      <c r="AH74"/>
      <c r="AI74"/>
      <c r="AJ74"/>
    </row>
    <row r="75" spans="2:36" ht="15">
      <c r="B75"/>
      <c r="C75"/>
      <c r="D75"/>
      <c r="E75"/>
      <c r="F75"/>
      <c r="AE75"/>
      <c r="AF75"/>
      <c r="AG75"/>
      <c r="AH75"/>
      <c r="AI75"/>
      <c r="AJ75"/>
    </row>
    <row r="76" spans="2:36" ht="15">
      <c r="B76"/>
      <c r="C76"/>
      <c r="D76"/>
      <c r="E76"/>
      <c r="F76"/>
      <c r="AE76"/>
      <c r="AF76"/>
      <c r="AG76"/>
      <c r="AH76"/>
      <c r="AI76"/>
      <c r="AJ76"/>
    </row>
    <row r="77" spans="2:36" ht="15">
      <c r="B77"/>
      <c r="C77"/>
      <c r="D77"/>
      <c r="E77"/>
      <c r="F77"/>
      <c r="AE77"/>
      <c r="AF77"/>
      <c r="AG77"/>
      <c r="AH77"/>
      <c r="AI77"/>
      <c r="AJ77"/>
    </row>
    <row r="78" spans="2:36" ht="15">
      <c r="B78"/>
      <c r="C78"/>
      <c r="D78"/>
      <c r="E78"/>
      <c r="F78"/>
      <c r="AE78"/>
      <c r="AF78"/>
      <c r="AG78"/>
      <c r="AH78"/>
      <c r="AI78"/>
      <c r="AJ78"/>
    </row>
    <row r="79" spans="2:36" ht="15">
      <c r="B79"/>
      <c r="C79"/>
      <c r="D79"/>
      <c r="E79"/>
      <c r="F79"/>
      <c r="AE79"/>
      <c r="AF79"/>
      <c r="AG79"/>
      <c r="AH79"/>
      <c r="AI79"/>
      <c r="AJ79"/>
    </row>
    <row r="80" spans="2:36" ht="15">
      <c r="B80"/>
      <c r="C80"/>
      <c r="D80"/>
      <c r="E80"/>
      <c r="F80"/>
      <c r="AE80"/>
      <c r="AF80"/>
      <c r="AG80"/>
      <c r="AH80"/>
      <c r="AI80"/>
      <c r="AJ80"/>
    </row>
    <row r="81" spans="2:36" ht="15">
      <c r="B81"/>
      <c r="C81"/>
      <c r="D81"/>
      <c r="E81"/>
      <c r="F81"/>
      <c r="AE81"/>
      <c r="AF81"/>
      <c r="AG81"/>
      <c r="AH81"/>
      <c r="AI81"/>
      <c r="AJ81"/>
    </row>
    <row r="82" spans="2:36" ht="15">
      <c r="B82"/>
      <c r="C82"/>
      <c r="D82"/>
      <c r="E82"/>
      <c r="F82"/>
      <c r="AE82"/>
      <c r="AF82"/>
      <c r="AG82"/>
      <c r="AH82"/>
      <c r="AI82"/>
      <c r="AJ82"/>
    </row>
    <row r="83" spans="2:36" ht="15">
      <c r="B83"/>
      <c r="C83"/>
      <c r="D83"/>
      <c r="E83"/>
      <c r="F83"/>
      <c r="AE83"/>
      <c r="AF83"/>
      <c r="AG83"/>
      <c r="AH83"/>
      <c r="AI83"/>
      <c r="AJ83"/>
    </row>
    <row r="84" spans="2:36" ht="15">
      <c r="B84"/>
      <c r="C84"/>
      <c r="D84"/>
      <c r="E84"/>
      <c r="F84"/>
      <c r="AE84"/>
      <c r="AF84"/>
      <c r="AG84"/>
      <c r="AH84"/>
      <c r="AI84"/>
      <c r="AJ84"/>
    </row>
    <row r="85" spans="2:36" ht="15">
      <c r="B85"/>
      <c r="C85"/>
      <c r="D85"/>
      <c r="E85"/>
      <c r="F85"/>
      <c r="AE85"/>
      <c r="AF85"/>
      <c r="AG85"/>
      <c r="AH85"/>
      <c r="AI85"/>
      <c r="AJ85"/>
    </row>
    <row r="86" spans="2:36" ht="15">
      <c r="B86"/>
      <c r="C86"/>
      <c r="D86"/>
      <c r="E86"/>
      <c r="F86"/>
      <c r="AE86"/>
      <c r="AF86"/>
      <c r="AG86"/>
      <c r="AH86"/>
      <c r="AI86"/>
      <c r="AJ86"/>
    </row>
    <row r="87" spans="2:36" ht="15">
      <c r="B87"/>
      <c r="C87"/>
      <c r="D87"/>
      <c r="E87"/>
      <c r="F87"/>
      <c r="AE87"/>
      <c r="AF87"/>
      <c r="AG87"/>
      <c r="AH87"/>
      <c r="AI87"/>
      <c r="AJ87"/>
    </row>
    <row r="88" spans="2:36" ht="15">
      <c r="B88"/>
      <c r="C88"/>
      <c r="D88"/>
      <c r="E88"/>
      <c r="F88"/>
      <c r="AE88"/>
      <c r="AF88"/>
      <c r="AG88"/>
      <c r="AH88"/>
      <c r="AI88"/>
      <c r="AJ88"/>
    </row>
    <row r="89" spans="2:36" ht="15">
      <c r="B89"/>
      <c r="C89"/>
      <c r="D89"/>
      <c r="E89"/>
      <c r="F89"/>
      <c r="AE89"/>
      <c r="AF89"/>
      <c r="AG89"/>
      <c r="AH89"/>
      <c r="AI89"/>
      <c r="AJ89"/>
    </row>
    <row r="90" spans="2:36" ht="15">
      <c r="B90"/>
      <c r="C90"/>
      <c r="D90"/>
      <c r="E90"/>
      <c r="F90"/>
      <c r="AE90"/>
      <c r="AF90"/>
      <c r="AG90"/>
      <c r="AH90"/>
      <c r="AI90"/>
      <c r="AJ90"/>
    </row>
    <row r="91" spans="2:36" ht="15">
      <c r="B91"/>
      <c r="C91"/>
      <c r="D91"/>
      <c r="E91"/>
      <c r="F91"/>
      <c r="AE91"/>
      <c r="AF91"/>
      <c r="AG91"/>
      <c r="AH91"/>
      <c r="AI91"/>
      <c r="AJ91"/>
    </row>
    <row r="92" spans="2:36" ht="15">
      <c r="B92"/>
      <c r="C92"/>
      <c r="D92"/>
      <c r="E92"/>
      <c r="F92"/>
      <c r="AE92"/>
      <c r="AF92"/>
      <c r="AG92"/>
      <c r="AH92"/>
      <c r="AI92"/>
      <c r="AJ92"/>
    </row>
    <row r="93" spans="2:36" ht="15">
      <c r="B93"/>
      <c r="C93"/>
      <c r="D93"/>
      <c r="E93"/>
      <c r="F93"/>
      <c r="AE93"/>
      <c r="AF93"/>
      <c r="AG93"/>
      <c r="AH93"/>
      <c r="AI93"/>
      <c r="AJ93"/>
    </row>
    <row r="94" spans="2:36" ht="15">
      <c r="B94"/>
      <c r="C94"/>
      <c r="D94"/>
      <c r="E94"/>
      <c r="F94"/>
      <c r="AE94"/>
      <c r="AF94"/>
      <c r="AG94"/>
      <c r="AH94"/>
      <c r="AI94"/>
      <c r="AJ94"/>
    </row>
    <row r="95" spans="2:36" ht="15">
      <c r="B95"/>
      <c r="C95"/>
      <c r="D95"/>
      <c r="E95"/>
      <c r="F95"/>
      <c r="AE95"/>
      <c r="AF95"/>
      <c r="AG95"/>
      <c r="AH95"/>
      <c r="AI95"/>
      <c r="AJ95"/>
    </row>
    <row r="96" spans="2:36" ht="15">
      <c r="B96"/>
      <c r="C96"/>
      <c r="D96"/>
      <c r="E96"/>
      <c r="F96"/>
      <c r="AE96"/>
      <c r="AF96"/>
      <c r="AG96"/>
      <c r="AH96"/>
      <c r="AI96"/>
      <c r="AJ96"/>
    </row>
    <row r="97" spans="2:36" ht="15">
      <c r="B97"/>
      <c r="C97"/>
      <c r="D97"/>
      <c r="E97"/>
      <c r="F97"/>
      <c r="AE97"/>
      <c r="AF97"/>
      <c r="AG97"/>
      <c r="AH97"/>
      <c r="AI97"/>
      <c r="AJ97"/>
    </row>
    <row r="98" spans="2:36" ht="15">
      <c r="B98"/>
      <c r="C98"/>
      <c r="D98"/>
      <c r="E98"/>
      <c r="F98"/>
      <c r="AE98"/>
      <c r="AF98"/>
      <c r="AG98"/>
      <c r="AH98"/>
      <c r="AI98"/>
      <c r="AJ98"/>
    </row>
    <row r="99" spans="2:36" ht="15">
      <c r="B99"/>
      <c r="C99"/>
      <c r="D99"/>
      <c r="E99"/>
      <c r="F99"/>
      <c r="AE99"/>
      <c r="AF99"/>
      <c r="AG99"/>
      <c r="AH99"/>
      <c r="AI99"/>
      <c r="AJ99"/>
    </row>
    <row r="100" spans="2:36" ht="15">
      <c r="B100"/>
      <c r="C100"/>
      <c r="D100"/>
      <c r="E100"/>
      <c r="F100"/>
      <c r="AE100"/>
      <c r="AF100"/>
      <c r="AG100"/>
      <c r="AH100"/>
      <c r="AI100"/>
      <c r="AJ100"/>
    </row>
    <row r="101" spans="2:36" ht="15">
      <c r="B101"/>
      <c r="C101"/>
      <c r="D101"/>
      <c r="E101"/>
      <c r="F101"/>
      <c r="AE101"/>
      <c r="AF101"/>
      <c r="AG101"/>
      <c r="AH101"/>
      <c r="AI101"/>
      <c r="AJ101"/>
    </row>
    <row r="102" spans="2:36" ht="15">
      <c r="B102"/>
      <c r="C102"/>
      <c r="D102"/>
      <c r="E102"/>
      <c r="F102"/>
      <c r="AE102"/>
      <c r="AF102"/>
      <c r="AG102"/>
      <c r="AH102"/>
      <c r="AI102"/>
      <c r="AJ102"/>
    </row>
    <row r="103" spans="2:36" ht="15">
      <c r="B103"/>
      <c r="C103"/>
      <c r="D103"/>
      <c r="E103"/>
      <c r="F103"/>
      <c r="AE103"/>
      <c r="AF103"/>
      <c r="AG103"/>
      <c r="AH103"/>
      <c r="AI103"/>
      <c r="AJ103"/>
    </row>
    <row r="104" spans="2:36" ht="15">
      <c r="B104"/>
      <c r="C104"/>
      <c r="D104"/>
      <c r="E104"/>
      <c r="F104"/>
      <c r="AE104"/>
      <c r="AF104"/>
      <c r="AG104"/>
      <c r="AH104"/>
      <c r="AI104"/>
      <c r="AJ104"/>
    </row>
    <row r="105" spans="2:36" ht="15">
      <c r="B105"/>
      <c r="C105"/>
      <c r="D105"/>
      <c r="E105"/>
      <c r="F105"/>
      <c r="AE105"/>
      <c r="AF105"/>
      <c r="AG105"/>
      <c r="AH105"/>
      <c r="AI105"/>
      <c r="AJ105"/>
    </row>
    <row r="106" spans="2:36" ht="15">
      <c r="B106"/>
      <c r="C106"/>
      <c r="D106"/>
      <c r="E106"/>
      <c r="F106"/>
      <c r="AE106"/>
      <c r="AF106"/>
      <c r="AG106"/>
      <c r="AH106"/>
      <c r="AI106"/>
      <c r="AJ106"/>
    </row>
    <row r="107" spans="2:36" ht="15">
      <c r="B107"/>
      <c r="C107"/>
      <c r="D107"/>
      <c r="E107"/>
      <c r="F107"/>
      <c r="AE107"/>
      <c r="AF107"/>
      <c r="AG107"/>
      <c r="AH107"/>
      <c r="AI107"/>
      <c r="AJ107"/>
    </row>
    <row r="108" spans="2:36" ht="15">
      <c r="B108"/>
      <c r="C108"/>
      <c r="D108"/>
      <c r="E108"/>
      <c r="F108"/>
      <c r="AE108"/>
      <c r="AF108"/>
      <c r="AG108"/>
      <c r="AH108"/>
      <c r="AI108"/>
      <c r="AJ108"/>
    </row>
    <row r="109" spans="2:36" ht="15">
      <c r="B109"/>
      <c r="C109"/>
      <c r="D109"/>
      <c r="E109"/>
      <c r="F109"/>
      <c r="AE109"/>
      <c r="AF109"/>
      <c r="AG109"/>
      <c r="AH109"/>
      <c r="AI109"/>
      <c r="AJ109"/>
    </row>
    <row r="110" spans="2:36" ht="15">
      <c r="B110"/>
      <c r="C110"/>
      <c r="D110"/>
      <c r="E110"/>
      <c r="F110"/>
      <c r="AE110"/>
      <c r="AF110"/>
      <c r="AG110"/>
      <c r="AH110"/>
      <c r="AI110"/>
      <c r="AJ110"/>
    </row>
    <row r="111" spans="2:36" ht="15">
      <c r="B111"/>
      <c r="C111"/>
      <c r="D111"/>
      <c r="E111"/>
      <c r="F111"/>
      <c r="AE111"/>
      <c r="AF111"/>
      <c r="AG111"/>
      <c r="AH111"/>
      <c r="AI111"/>
      <c r="AJ111"/>
    </row>
    <row r="112" spans="2:36" ht="15">
      <c r="B112"/>
      <c r="C112"/>
      <c r="D112"/>
      <c r="E112"/>
      <c r="F112"/>
      <c r="AE112"/>
      <c r="AF112"/>
      <c r="AG112"/>
      <c r="AH112"/>
      <c r="AI112"/>
      <c r="AJ112"/>
    </row>
    <row r="113" spans="2:36" ht="15">
      <c r="B113"/>
      <c r="C113"/>
      <c r="D113"/>
      <c r="E113"/>
      <c r="F113"/>
      <c r="AE113"/>
      <c r="AF113"/>
      <c r="AG113"/>
      <c r="AH113"/>
      <c r="AI113"/>
      <c r="AJ113"/>
    </row>
    <row r="114" spans="2:36" ht="15">
      <c r="B114"/>
      <c r="C114"/>
      <c r="D114"/>
      <c r="E114"/>
      <c r="F114"/>
      <c r="AE114"/>
      <c r="AF114"/>
      <c r="AG114"/>
      <c r="AH114"/>
      <c r="AI114"/>
      <c r="AJ114"/>
    </row>
    <row r="115" spans="2:36" ht="15">
      <c r="B115"/>
      <c r="C115"/>
      <c r="D115"/>
      <c r="E115"/>
      <c r="F115"/>
      <c r="AE115"/>
      <c r="AF115"/>
      <c r="AG115"/>
      <c r="AH115"/>
      <c r="AI115"/>
      <c r="AJ115"/>
    </row>
    <row r="116" spans="2:36" ht="15">
      <c r="B116"/>
      <c r="C116"/>
      <c r="D116"/>
      <c r="E116"/>
      <c r="F116"/>
      <c r="AE116"/>
      <c r="AF116"/>
      <c r="AG116"/>
      <c r="AH116"/>
      <c r="AI116"/>
      <c r="AJ116"/>
    </row>
    <row r="117" spans="2:36" ht="15">
      <c r="B117"/>
      <c r="C117"/>
      <c r="D117"/>
      <c r="E117"/>
      <c r="F117"/>
      <c r="AE117"/>
      <c r="AF117"/>
      <c r="AG117"/>
      <c r="AH117"/>
      <c r="AI117"/>
      <c r="AJ117"/>
    </row>
    <row r="118" spans="2:36" ht="15">
      <c r="B118"/>
      <c r="C118"/>
      <c r="D118"/>
      <c r="E118"/>
      <c r="F118"/>
      <c r="AE118"/>
      <c r="AF118"/>
      <c r="AG118"/>
      <c r="AH118"/>
      <c r="AI118"/>
      <c r="AJ118"/>
    </row>
    <row r="119" spans="2:36" ht="15">
      <c r="B119"/>
      <c r="C119"/>
      <c r="D119"/>
      <c r="E119"/>
      <c r="F119"/>
      <c r="AE119"/>
      <c r="AF119"/>
      <c r="AG119"/>
      <c r="AH119"/>
      <c r="AI119"/>
      <c r="AJ119"/>
    </row>
    <row r="120" spans="2:36" ht="15">
      <c r="B120"/>
      <c r="C120"/>
      <c r="D120"/>
      <c r="E120"/>
      <c r="F120"/>
      <c r="AE120"/>
      <c r="AF120"/>
      <c r="AG120"/>
      <c r="AH120"/>
      <c r="AI120"/>
      <c r="AJ120"/>
    </row>
    <row r="121" spans="2:36" ht="15">
      <c r="AE121"/>
      <c r="AF121"/>
      <c r="AG121"/>
      <c r="AH121"/>
      <c r="AI121"/>
      <c r="AJ121"/>
    </row>
    <row r="122" spans="2:36" ht="15">
      <c r="AE122"/>
      <c r="AF122"/>
      <c r="AG122"/>
      <c r="AH122"/>
      <c r="AI122"/>
      <c r="AJ122"/>
    </row>
    <row r="123" spans="2:36" ht="15">
      <c r="AE123"/>
      <c r="AF123"/>
      <c r="AG123"/>
      <c r="AH123"/>
      <c r="AI123"/>
      <c r="AJ123"/>
    </row>
    <row r="124" spans="2:36" ht="15">
      <c r="AE124"/>
      <c r="AF124"/>
      <c r="AG124"/>
      <c r="AH124"/>
      <c r="AI124"/>
      <c r="AJ124"/>
    </row>
    <row r="125" spans="2:36" ht="15">
      <c r="AE125"/>
      <c r="AF125"/>
      <c r="AG125"/>
      <c r="AH125"/>
      <c r="AI125"/>
      <c r="AJ125"/>
    </row>
    <row r="126" spans="2:36" ht="15">
      <c r="AE126"/>
      <c r="AF126"/>
      <c r="AG126"/>
      <c r="AH126"/>
      <c r="AI126"/>
      <c r="AJ126"/>
    </row>
    <row r="127" spans="2:36" ht="15">
      <c r="AE127"/>
      <c r="AF127"/>
      <c r="AG127"/>
      <c r="AH127"/>
      <c r="AI127"/>
      <c r="AJ127"/>
    </row>
    <row r="128" spans="2:36" ht="15">
      <c r="AE128"/>
      <c r="AF128"/>
      <c r="AG128"/>
      <c r="AH128"/>
      <c r="AI128"/>
      <c r="AJ128"/>
    </row>
    <row r="129" spans="31:36" ht="15">
      <c r="AE129"/>
      <c r="AF129"/>
      <c r="AG129"/>
      <c r="AH129"/>
      <c r="AI129"/>
      <c r="AJ129"/>
    </row>
    <row r="130" spans="31:36" ht="15">
      <c r="AE130"/>
      <c r="AF130"/>
      <c r="AG130"/>
      <c r="AH130"/>
      <c r="AI130"/>
      <c r="AJ130"/>
    </row>
    <row r="131" spans="31:36" ht="15">
      <c r="AE131"/>
      <c r="AF131"/>
      <c r="AG131"/>
      <c r="AH131"/>
      <c r="AI131"/>
      <c r="AJ131"/>
    </row>
    <row r="132" spans="31:36">
      <c r="AI132" s="30"/>
    </row>
    <row r="133" spans="31:36">
      <c r="AI133" s="30"/>
    </row>
    <row r="134" spans="31:36">
      <c r="AI134" s="30"/>
    </row>
    <row r="135" spans="31:36">
      <c r="AI135" s="30"/>
    </row>
    <row r="136" spans="31:36">
      <c r="AI136" s="30"/>
    </row>
    <row r="137" spans="31:36">
      <c r="AI137" s="30"/>
    </row>
    <row r="138" spans="31:36">
      <c r="AI138" s="30"/>
    </row>
    <row r="139" spans="31:36">
      <c r="AI139" s="30"/>
    </row>
    <row r="140" spans="31:36">
      <c r="AI140" s="30"/>
    </row>
    <row r="141" spans="31:36">
      <c r="AI141" s="30"/>
    </row>
    <row r="142" spans="31:36">
      <c r="AI142" s="30"/>
    </row>
    <row r="143" spans="31:36">
      <c r="AI143" s="30"/>
    </row>
  </sheetData>
  <mergeCells count="7">
    <mergeCell ref="B28:C28"/>
    <mergeCell ref="AB1:AC1"/>
    <mergeCell ref="B13:C13"/>
    <mergeCell ref="B17:C17"/>
    <mergeCell ref="B21:C21"/>
    <mergeCell ref="B26:C26"/>
    <mergeCell ref="B7:C7"/>
  </mergeCells>
  <dataValidations count="6">
    <dataValidation type="list" allowBlank="1" showInputMessage="1" showErrorMessage="1" sqref="C22">
      <formula1>YesNo</formula1>
    </dataValidation>
    <dataValidation type="list" allowBlank="1" showInputMessage="1" showErrorMessage="1" sqref="B26:C26">
      <formula1>lst_SolCol</formula1>
    </dataValidation>
    <dataValidation type="list" allowBlank="1" showInputMessage="1" showErrorMessage="1" sqref="B21:C21">
      <formula1>lst_Boilers</formula1>
    </dataValidation>
    <dataValidation type="list" allowBlank="1" showInputMessage="1" showErrorMessage="1" sqref="B13:C13">
      <formula1>lst_CoGen</formula1>
    </dataValidation>
    <dataValidation type="list" allowBlank="1" showInputMessage="1" showErrorMessage="1" sqref="B17:C17">
      <formula1>lst_Ctrl</formula1>
    </dataValidation>
    <dataValidation type="list" allowBlank="1" showInputMessage="1" showErrorMessage="1" sqref="B28:C28">
      <formula1>lst_HWST</formula1>
    </dataValidation>
  </dataValidations>
  <hyperlinks>
    <hyperlink ref="B1" location="Index!A1" display="Back to index"/>
  </hyperlinks>
  <pageMargins left="0.75" right="0.75" top="1" bottom="1" header="0.5" footer="0.5"/>
  <pageSetup paperSize="9" scale="85" orientation="portrait" horizontalDpi="0" verticalDpi="0"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B1:AI142"/>
  <sheetViews>
    <sheetView showGridLines="0" zoomScale="80" zoomScaleNormal="80" workbookViewId="0"/>
  </sheetViews>
  <sheetFormatPr defaultRowHeight="12.75"/>
  <cols>
    <col min="1" max="1" width="2" style="2" customWidth="1"/>
    <col min="2" max="2" width="28.42578125" style="2" customWidth="1"/>
    <col min="3" max="3" width="5" style="2" customWidth="1"/>
    <col min="4" max="4" width="9.28515625" style="2" customWidth="1"/>
    <col min="5" max="7" width="9.140625" style="2"/>
    <col min="8" max="8" width="10.7109375" style="2" bestFit="1" customWidth="1"/>
    <col min="9" max="9" width="3" style="2" bestFit="1" customWidth="1"/>
    <col min="10" max="10" width="3" style="2" customWidth="1"/>
    <col min="11" max="11" width="2.85546875" style="2" customWidth="1"/>
    <col min="12" max="12" width="9.140625" style="2"/>
    <col min="13" max="13" width="1.85546875" style="2" bestFit="1" customWidth="1"/>
    <col min="14" max="14" width="9.140625" style="2"/>
    <col min="15" max="15" width="2.140625" style="2" bestFit="1" customWidth="1"/>
    <col min="16" max="16" width="9.140625" style="2"/>
    <col min="17" max="17" width="1.85546875" style="2" bestFit="1" customWidth="1"/>
    <col min="18" max="18" width="9.140625" style="2"/>
    <col min="19" max="19" width="2.85546875" style="2" bestFit="1" customWidth="1"/>
    <col min="20" max="20" width="9.42578125" style="2" bestFit="1" customWidth="1"/>
    <col min="21" max="21" width="2.85546875" style="2" customWidth="1"/>
    <col min="22" max="22" width="9.140625" style="2"/>
    <col min="23" max="23" width="2.85546875" style="4" bestFit="1" customWidth="1"/>
    <col min="24" max="24" width="9.140625" style="2"/>
    <col min="25" max="25" width="2.85546875" style="4" bestFit="1" customWidth="1"/>
    <col min="26" max="26" width="9.140625" style="2"/>
    <col min="27" max="27" width="3.140625" style="4" customWidth="1"/>
    <col min="28" max="28" width="9.140625" style="5"/>
    <col min="29" max="29" width="4.7109375" style="4" customWidth="1"/>
    <col min="30" max="30" width="3.5703125" style="2" customWidth="1"/>
    <col min="31" max="31" width="48.5703125" style="3" bestFit="1" customWidth="1"/>
    <col min="32" max="32" width="9.140625" style="3"/>
    <col min="33" max="16384" width="9.140625" style="2"/>
  </cols>
  <sheetData>
    <row r="1" spans="2:35" ht="15">
      <c r="B1" s="225" t="s">
        <v>312</v>
      </c>
      <c r="C1" s="3"/>
      <c r="E1" s="3"/>
      <c r="J1" s="3" t="s">
        <v>13</v>
      </c>
      <c r="M1" s="3" t="s">
        <v>151</v>
      </c>
      <c r="N1" s="3"/>
      <c r="O1" s="3"/>
      <c r="P1" s="3"/>
      <c r="Q1" s="3"/>
      <c r="V1" s="4"/>
      <c r="W1" s="2"/>
      <c r="X1" s="4"/>
      <c r="Y1" s="2"/>
      <c r="Z1" s="4"/>
      <c r="AA1" s="2"/>
      <c r="AB1" s="371">
        <v>41409</v>
      </c>
      <c r="AC1" s="372"/>
      <c r="AD1" s="3"/>
      <c r="AE1" s="2"/>
      <c r="AF1" s="2"/>
    </row>
    <row r="2" spans="2:35">
      <c r="B2" s="3"/>
      <c r="C2" s="3"/>
      <c r="E2" s="3"/>
      <c r="J2" s="3" t="s">
        <v>15</v>
      </c>
      <c r="M2" s="3" t="s">
        <v>301</v>
      </c>
      <c r="N2" s="3"/>
      <c r="O2" s="3"/>
      <c r="P2" s="3"/>
      <c r="Q2" s="3"/>
      <c r="V2" s="4"/>
      <c r="W2" s="2"/>
      <c r="X2" s="4"/>
      <c r="Y2" s="2"/>
      <c r="Z2" s="4"/>
      <c r="AA2" s="2"/>
      <c r="AC2" s="6" t="s">
        <v>17</v>
      </c>
      <c r="AD2" s="3"/>
      <c r="AE2" s="2"/>
      <c r="AF2" s="2"/>
    </row>
    <row r="3" spans="2:35">
      <c r="B3" s="3"/>
      <c r="C3" s="3"/>
      <c r="E3" s="3"/>
      <c r="J3" s="3" t="s">
        <v>18</v>
      </c>
      <c r="M3" s="3" t="s">
        <v>153</v>
      </c>
      <c r="N3" s="3"/>
      <c r="O3" s="3"/>
      <c r="P3" s="3"/>
      <c r="Q3" s="3"/>
      <c r="V3" s="4"/>
      <c r="W3" s="2"/>
      <c r="X3" s="4"/>
      <c r="Y3" s="2"/>
      <c r="Z3" s="4"/>
      <c r="AA3" s="2"/>
      <c r="AC3" s="7" t="s">
        <v>20</v>
      </c>
      <c r="AD3" s="3"/>
      <c r="AE3" s="2"/>
      <c r="AF3" s="2"/>
    </row>
    <row r="4" spans="2:35">
      <c r="B4" s="8" t="s">
        <v>21</v>
      </c>
      <c r="C4" s="9"/>
      <c r="D4" s="10"/>
      <c r="E4" s="9"/>
      <c r="J4" s="9" t="s">
        <v>22</v>
      </c>
      <c r="K4" s="10"/>
      <c r="L4" s="10"/>
      <c r="M4" s="9" t="s">
        <v>302</v>
      </c>
      <c r="N4" s="10"/>
      <c r="O4" s="10"/>
      <c r="P4" s="10"/>
      <c r="Q4" s="10"/>
      <c r="R4" s="10"/>
      <c r="S4" s="10"/>
      <c r="T4" s="10"/>
      <c r="U4" s="10"/>
      <c r="V4" s="11"/>
      <c r="W4" s="10"/>
      <c r="X4" s="11"/>
      <c r="Y4" s="10"/>
      <c r="Z4" s="11"/>
      <c r="AA4" s="10"/>
      <c r="AB4" s="12"/>
      <c r="AC4" s="13" t="s">
        <v>490</v>
      </c>
      <c r="AE4" s="14" t="s">
        <v>25</v>
      </c>
      <c r="AF4" s="14"/>
      <c r="AG4" s="14"/>
      <c r="AH4" s="14"/>
      <c r="AI4" s="14"/>
    </row>
    <row r="5" spans="2:35">
      <c r="J5" s="3"/>
      <c r="K5" s="3"/>
      <c r="L5" s="3"/>
      <c r="M5" s="3"/>
      <c r="N5" s="3"/>
      <c r="O5" s="3"/>
      <c r="P5" s="3"/>
      <c r="Q5" s="3"/>
      <c r="R5" s="3"/>
      <c r="S5" s="3"/>
      <c r="T5" s="3"/>
      <c r="U5" s="3"/>
      <c r="V5" s="3"/>
      <c r="W5" s="3"/>
      <c r="X5" s="3"/>
      <c r="Y5" s="3"/>
      <c r="Z5" s="3"/>
      <c r="AA5" s="3"/>
      <c r="AB5" s="3"/>
      <c r="AC5" s="3"/>
    </row>
    <row r="6" spans="2:35">
      <c r="J6" s="3"/>
      <c r="K6" s="3"/>
      <c r="L6" s="3"/>
      <c r="M6" s="3"/>
      <c r="N6" s="3"/>
      <c r="O6" s="3"/>
      <c r="P6" s="3"/>
      <c r="Q6" s="3"/>
      <c r="R6" s="3"/>
      <c r="S6" s="3"/>
      <c r="T6" s="3"/>
      <c r="U6" s="3"/>
      <c r="V6" s="3"/>
      <c r="W6" s="3"/>
      <c r="X6" s="3"/>
      <c r="Y6" s="3"/>
      <c r="Z6" s="3"/>
      <c r="AA6" s="3"/>
      <c r="AB6" s="3"/>
      <c r="AC6" s="3"/>
      <c r="AE6" s="3" t="s">
        <v>442</v>
      </c>
      <c r="AG6" s="3"/>
      <c r="AH6" s="3"/>
    </row>
    <row r="7" spans="2:35">
      <c r="B7" s="384" t="s">
        <v>438</v>
      </c>
      <c r="C7" s="385"/>
      <c r="D7" s="97"/>
      <c r="E7" s="15" t="s">
        <v>440</v>
      </c>
      <c r="F7" s="16"/>
      <c r="G7" s="16"/>
      <c r="H7" s="17"/>
      <c r="I7" s="97"/>
      <c r="J7" s="3"/>
      <c r="K7" s="3"/>
      <c r="L7" s="3"/>
      <c r="M7" s="3"/>
      <c r="N7" s="3"/>
      <c r="O7" s="3"/>
      <c r="P7" s="3"/>
      <c r="Q7" s="3"/>
      <c r="R7" s="3"/>
      <c r="S7" s="3"/>
      <c r="T7" s="3"/>
      <c r="U7" s="3"/>
      <c r="V7" s="3"/>
      <c r="W7" s="3"/>
      <c r="X7" s="3"/>
      <c r="Y7" s="3"/>
      <c r="Z7" s="3"/>
      <c r="AA7" s="3"/>
      <c r="AB7" s="3"/>
      <c r="AC7" s="3"/>
      <c r="AE7" s="3" t="s">
        <v>443</v>
      </c>
      <c r="AG7" s="3"/>
      <c r="AH7" s="3"/>
    </row>
    <row r="8" spans="2:35">
      <c r="B8" s="350" t="s">
        <v>439</v>
      </c>
      <c r="C8" s="351"/>
      <c r="D8" s="18"/>
      <c r="E8" s="299" t="s">
        <v>441</v>
      </c>
      <c r="F8" s="18"/>
      <c r="G8" s="18"/>
      <c r="H8" s="19"/>
      <c r="I8" s="97"/>
      <c r="J8" s="3"/>
      <c r="K8" s="3"/>
      <c r="L8" s="3"/>
      <c r="M8" s="3"/>
      <c r="N8" s="3"/>
      <c r="O8" s="3"/>
      <c r="P8" s="3"/>
      <c r="Q8" s="3"/>
      <c r="R8" s="3"/>
      <c r="S8" s="3"/>
      <c r="T8" s="3"/>
      <c r="U8" s="3"/>
      <c r="V8" s="3"/>
      <c r="W8" s="3"/>
      <c r="X8" s="3"/>
      <c r="Y8" s="3"/>
      <c r="Z8" s="3"/>
      <c r="AA8" s="3"/>
      <c r="AB8" s="3"/>
      <c r="AC8" s="3"/>
      <c r="AG8" s="3"/>
      <c r="AH8" s="3"/>
    </row>
    <row r="9" spans="2:35">
      <c r="J9" s="3"/>
      <c r="K9" s="3"/>
      <c r="L9" s="3"/>
      <c r="M9" s="3"/>
      <c r="N9" s="3"/>
      <c r="O9" s="3"/>
      <c r="P9" s="3"/>
      <c r="Q9" s="3"/>
      <c r="R9" s="3"/>
      <c r="S9" s="3"/>
      <c r="T9" s="3"/>
      <c r="U9" s="3"/>
      <c r="V9" s="3"/>
      <c r="W9" s="3"/>
      <c r="X9" s="3"/>
      <c r="Y9" s="3"/>
      <c r="Z9" s="3"/>
      <c r="AA9" s="3"/>
      <c r="AB9" s="3"/>
      <c r="AC9" s="3"/>
      <c r="AE9" s="352" t="s">
        <v>431</v>
      </c>
      <c r="AG9" s="3"/>
      <c r="AH9" s="3"/>
    </row>
    <row r="10" spans="2:35">
      <c r="B10" s="3"/>
      <c r="C10" s="3"/>
      <c r="D10" s="3"/>
      <c r="E10" s="3"/>
      <c r="F10" s="3"/>
      <c r="G10" s="3"/>
      <c r="H10" s="3"/>
      <c r="J10" s="3"/>
      <c r="K10" s="3"/>
      <c r="L10" s="3"/>
      <c r="M10" s="3"/>
      <c r="N10" s="3"/>
      <c r="O10" s="3"/>
      <c r="P10" s="3"/>
      <c r="Q10" s="3"/>
      <c r="R10" s="3"/>
      <c r="S10" s="3"/>
      <c r="T10" s="3"/>
      <c r="U10" s="3"/>
      <c r="V10" s="3"/>
      <c r="W10" s="3"/>
      <c r="X10" s="3"/>
      <c r="Y10" s="3"/>
      <c r="Z10" s="3"/>
      <c r="AA10" s="3"/>
      <c r="AB10" s="3"/>
      <c r="AC10" s="3"/>
      <c r="AE10" s="20" t="s">
        <v>27</v>
      </c>
      <c r="AG10" s="21"/>
      <c r="AH10" s="3"/>
    </row>
    <row r="11" spans="2:35" ht="13.5" thickBot="1">
      <c r="D11" s="30"/>
      <c r="E11" s="30"/>
      <c r="F11" s="30"/>
      <c r="G11" s="30"/>
      <c r="H11" s="30"/>
      <c r="K11" s="102"/>
      <c r="L11" s="102"/>
      <c r="N11" s="103"/>
      <c r="AE11" s="20" t="s">
        <v>28</v>
      </c>
      <c r="AG11" s="22"/>
      <c r="AH11" s="3" t="s">
        <v>29</v>
      </c>
    </row>
    <row r="12" spans="2:35" ht="15.75">
      <c r="B12" s="29" t="s">
        <v>303</v>
      </c>
      <c r="C12" s="30"/>
      <c r="D12" s="105"/>
      <c r="E12" s="65" t="s">
        <v>156</v>
      </c>
      <c r="F12" s="31" t="s">
        <v>157</v>
      </c>
      <c r="G12" s="31" t="s">
        <v>304</v>
      </c>
      <c r="H12" s="31" t="s">
        <v>305</v>
      </c>
      <c r="J12" s="106"/>
      <c r="K12" s="107"/>
      <c r="L12" s="107"/>
      <c r="M12" s="107"/>
      <c r="N12" s="107"/>
      <c r="O12" s="107"/>
      <c r="P12" s="107"/>
      <c r="Q12" s="107"/>
      <c r="R12" s="107"/>
      <c r="S12" s="107"/>
      <c r="T12" s="107"/>
      <c r="U12" s="107"/>
      <c r="V12" s="107"/>
      <c r="W12" s="108"/>
      <c r="X12" s="107"/>
      <c r="Y12" s="108"/>
      <c r="Z12" s="107"/>
      <c r="AA12" s="108"/>
      <c r="AB12" s="109" t="s">
        <v>33</v>
      </c>
      <c r="AC12" s="110"/>
      <c r="AE12" s="26" t="s">
        <v>30</v>
      </c>
      <c r="AF12" s="27"/>
      <c r="AG12" s="28"/>
      <c r="AH12" s="3" t="s">
        <v>29</v>
      </c>
    </row>
    <row r="13" spans="2:35">
      <c r="B13" s="380" t="s">
        <v>250</v>
      </c>
      <c r="C13" s="381"/>
      <c r="D13" s="111"/>
      <c r="E13" s="39">
        <f>VLOOKUP(B13,dbf_HeatPump,2,FALSE)</f>
        <v>10</v>
      </c>
      <c r="F13" s="39">
        <f>VLOOKUP(B13,dbf_HeatPump,3,FALSE)</f>
        <v>140</v>
      </c>
      <c r="G13" s="39">
        <f>VLOOKUP(B13,dbf_HeatPump,4,FALSE)</f>
        <v>5</v>
      </c>
      <c r="H13" s="39">
        <f>VLOOKUP(B13,dbf_HeatPump,5,FALSE)</f>
        <v>5</v>
      </c>
      <c r="I13" s="40" t="s">
        <v>36</v>
      </c>
      <c r="J13" s="114"/>
      <c r="K13" s="50" t="s">
        <v>306</v>
      </c>
      <c r="L13" s="50"/>
      <c r="M13" s="50"/>
      <c r="N13" s="50"/>
      <c r="O13" s="50"/>
      <c r="P13" s="50"/>
      <c r="Q13" s="50"/>
      <c r="R13" s="50"/>
      <c r="S13" s="50"/>
      <c r="T13" s="50"/>
      <c r="U13" s="50"/>
      <c r="V13" s="50"/>
      <c r="W13" s="98"/>
      <c r="X13" s="50"/>
      <c r="Y13" s="98"/>
      <c r="Z13" s="50"/>
      <c r="AA13" s="117" t="s">
        <v>38</v>
      </c>
      <c r="AB13" s="118">
        <f>F13</f>
        <v>140</v>
      </c>
      <c r="AC13" s="119" t="s">
        <v>39</v>
      </c>
      <c r="AE13" s="26" t="s">
        <v>34</v>
      </c>
      <c r="AF13" s="27"/>
      <c r="AG13" s="36"/>
      <c r="AH13" s="3" t="s">
        <v>29</v>
      </c>
    </row>
    <row r="14" spans="2:35" ht="15">
      <c r="B14"/>
      <c r="C14"/>
      <c r="D14" s="55"/>
      <c r="E14" s="55"/>
      <c r="F14" s="30"/>
      <c r="G14" s="30"/>
      <c r="H14" s="30"/>
      <c r="I14" s="120"/>
      <c r="J14" s="114"/>
      <c r="K14" s="121"/>
      <c r="L14" s="121"/>
      <c r="M14" s="121"/>
      <c r="N14" s="121"/>
      <c r="O14" s="121"/>
      <c r="P14" s="121"/>
      <c r="Q14" s="121"/>
      <c r="R14" s="121"/>
      <c r="S14" s="121"/>
      <c r="T14" s="121"/>
      <c r="U14" s="121"/>
      <c r="V14" s="121"/>
      <c r="W14" s="122"/>
      <c r="X14" s="121"/>
      <c r="Y14" s="122"/>
      <c r="Z14" s="121"/>
      <c r="AA14" s="123"/>
      <c r="AB14" s="124"/>
      <c r="AC14" s="119"/>
      <c r="AE14" s="20" t="s">
        <v>40</v>
      </c>
      <c r="AF14" s="27"/>
      <c r="AG14" s="44"/>
      <c r="AH14" s="3" t="s">
        <v>29</v>
      </c>
    </row>
    <row r="15" spans="2:35">
      <c r="B15" s="3"/>
      <c r="C15" s="3"/>
      <c r="I15" s="125"/>
      <c r="J15" s="114"/>
      <c r="K15" s="50"/>
      <c r="L15" s="50"/>
      <c r="M15" s="50"/>
      <c r="N15" s="50"/>
      <c r="O15" s="50"/>
      <c r="P15" s="50"/>
      <c r="Q15" s="50"/>
      <c r="R15" s="50"/>
      <c r="S15" s="50"/>
      <c r="T15" s="50"/>
      <c r="U15" s="50"/>
      <c r="V15" s="50"/>
      <c r="W15" s="50"/>
      <c r="X15" s="50"/>
      <c r="Y15" s="50"/>
      <c r="Z15" s="50"/>
      <c r="AA15" s="50"/>
      <c r="AB15" s="50"/>
      <c r="AC15" s="138"/>
    </row>
    <row r="16" spans="2:35">
      <c r="B16" s="54" t="s">
        <v>291</v>
      </c>
      <c r="C16" s="55"/>
      <c r="D16" s="55"/>
      <c r="E16" s="55"/>
      <c r="F16" s="55"/>
      <c r="G16" s="55"/>
      <c r="H16" s="3"/>
      <c r="I16" s="120"/>
      <c r="J16" s="114"/>
      <c r="K16" s="50"/>
      <c r="L16" s="50"/>
      <c r="M16" s="50"/>
      <c r="N16" s="50"/>
      <c r="O16" s="50"/>
      <c r="P16" s="50"/>
      <c r="Q16" s="50"/>
      <c r="R16" s="50"/>
      <c r="S16" s="50"/>
      <c r="T16" s="50"/>
      <c r="U16" s="50"/>
      <c r="V16" s="50"/>
      <c r="W16" s="98"/>
      <c r="X16" s="50"/>
      <c r="Y16" s="98"/>
      <c r="Z16" s="50"/>
      <c r="AA16" s="98"/>
      <c r="AB16" s="126" t="s">
        <v>50</v>
      </c>
      <c r="AC16" s="119"/>
    </row>
    <row r="17" spans="2:32" s="50" customFormat="1">
      <c r="B17" s="380" t="s">
        <v>243</v>
      </c>
      <c r="C17" s="381"/>
      <c r="D17" s="111"/>
      <c r="E17" s="37"/>
      <c r="F17" s="37"/>
      <c r="G17" s="37"/>
      <c r="H17" s="39" t="str">
        <f>VLOOKUP(B17,dbf_Ctrl,2,FALSE)</f>
        <v>VII</v>
      </c>
      <c r="I17" s="40" t="s">
        <v>36</v>
      </c>
      <c r="J17" s="114"/>
      <c r="K17" s="50" t="s">
        <v>162</v>
      </c>
      <c r="W17" s="98"/>
      <c r="Y17" s="128" t="s">
        <v>163</v>
      </c>
      <c r="Z17" s="218"/>
      <c r="AA17" s="117"/>
      <c r="AB17" s="130">
        <f>VLOOKUP(B17,dbf_Ctrl,3,FALSE)</f>
        <v>3.5</v>
      </c>
      <c r="AC17" s="119" t="s">
        <v>39</v>
      </c>
      <c r="AE17" s="49"/>
      <c r="AF17" s="3"/>
    </row>
    <row r="18" spans="2:32">
      <c r="B18" s="55"/>
      <c r="C18" s="55"/>
      <c r="D18" s="55"/>
      <c r="E18" s="55"/>
      <c r="F18" s="55"/>
      <c r="G18" s="55"/>
      <c r="H18" s="55"/>
      <c r="I18" s="131"/>
      <c r="J18" s="114"/>
      <c r="K18" s="121"/>
      <c r="L18" s="121"/>
      <c r="M18" s="121"/>
      <c r="N18" s="121"/>
      <c r="O18" s="121"/>
      <c r="P18" s="121"/>
      <c r="Q18" s="121"/>
      <c r="R18" s="121"/>
      <c r="S18" s="121"/>
      <c r="T18" s="121"/>
      <c r="U18" s="121"/>
      <c r="V18" s="121"/>
      <c r="W18" s="122"/>
      <c r="X18" s="121"/>
      <c r="Y18" s="122"/>
      <c r="Z18" s="219"/>
      <c r="AA18" s="122"/>
      <c r="AB18" s="124"/>
      <c r="AC18" s="119"/>
      <c r="AE18" s="2"/>
    </row>
    <row r="19" spans="2:32">
      <c r="B19" s="55"/>
      <c r="C19" s="55"/>
      <c r="D19" s="55"/>
      <c r="E19" s="55"/>
      <c r="F19" s="55"/>
      <c r="G19" s="55"/>
      <c r="H19" s="55"/>
      <c r="I19" s="120"/>
      <c r="J19" s="114"/>
      <c r="K19" s="50"/>
      <c r="L19" s="50"/>
      <c r="M19" s="50"/>
      <c r="N19" s="50"/>
      <c r="O19" s="50"/>
      <c r="P19" s="50"/>
      <c r="Q19" s="50"/>
      <c r="R19" s="50"/>
      <c r="S19" s="50"/>
      <c r="T19" s="50"/>
      <c r="U19" s="50"/>
      <c r="V19" s="50"/>
      <c r="W19" s="98"/>
      <c r="X19" s="50"/>
      <c r="Y19" s="98"/>
      <c r="Z19" s="50"/>
      <c r="AA19" s="98"/>
      <c r="AB19" s="99"/>
      <c r="AC19" s="119"/>
    </row>
    <row r="20" spans="2:32" ht="15.75">
      <c r="B20" s="29" t="s">
        <v>165</v>
      </c>
      <c r="C20" s="30"/>
      <c r="D20" s="55"/>
      <c r="E20" s="55"/>
      <c r="G20" s="65" t="s">
        <v>156</v>
      </c>
      <c r="H20" s="31" t="s">
        <v>166</v>
      </c>
      <c r="I20" s="120"/>
      <c r="J20" s="114"/>
      <c r="K20" s="50" t="s">
        <v>167</v>
      </c>
      <c r="L20" s="50"/>
      <c r="M20" s="50"/>
      <c r="N20" s="50"/>
      <c r="O20" s="50"/>
      <c r="P20" s="50"/>
      <c r="Q20" s="50"/>
      <c r="R20" s="50"/>
      <c r="S20" s="50"/>
      <c r="T20" s="50"/>
      <c r="U20" s="50"/>
      <c r="V20" s="128" t="s">
        <v>168</v>
      </c>
      <c r="W20" s="98"/>
      <c r="X20" s="132" t="s">
        <v>38</v>
      </c>
      <c r="Y20" s="98"/>
      <c r="Z20" s="132" t="s">
        <v>192</v>
      </c>
      <c r="AA20" s="98"/>
      <c r="AB20" s="126" t="s">
        <v>55</v>
      </c>
      <c r="AC20" s="119"/>
    </row>
    <row r="21" spans="2:32" s="50" customFormat="1">
      <c r="B21" s="380" t="s">
        <v>226</v>
      </c>
      <c r="C21" s="381"/>
      <c r="D21" s="111"/>
      <c r="E21" s="37"/>
      <c r="F21" s="37"/>
      <c r="G21" s="39">
        <f>VLOOKUP(B21,dbf_Boilers,2,FALSE)</f>
        <v>30</v>
      </c>
      <c r="H21" s="39">
        <f>VLOOKUP(B21,dbf_Boilers,3,FALSE)</f>
        <v>90</v>
      </c>
      <c r="I21" s="40" t="s">
        <v>36</v>
      </c>
      <c r="J21" s="114"/>
      <c r="K21" s="134" t="s">
        <v>170</v>
      </c>
      <c r="R21" s="96"/>
      <c r="U21" s="135" t="s">
        <v>51</v>
      </c>
      <c r="V21" s="136">
        <f>H21</f>
        <v>90</v>
      </c>
      <c r="W21" s="117" t="s">
        <v>52</v>
      </c>
      <c r="X21" s="118">
        <f>AB13</f>
        <v>140</v>
      </c>
      <c r="Y21" s="117" t="s">
        <v>53</v>
      </c>
      <c r="Z21" s="143">
        <f>E13/(E13+G21)*VLOOKUP(E13/(E13+G21),Tbl6_SH_Ext,IF(C22="Yes",6,4),TRUE)+VLOOKUP(E13/(E13+G21),Tbl6_SH_Ext,IF(C22="Yes",7,5),TRUE)</f>
        <v>0.35</v>
      </c>
      <c r="AA21" s="117" t="s">
        <v>54</v>
      </c>
      <c r="AB21" s="130">
        <f>IF(B21&lt;&gt;"None",(V21-X21)*Z21,0)</f>
        <v>-17.5</v>
      </c>
      <c r="AC21" s="119" t="s">
        <v>39</v>
      </c>
      <c r="AE21" s="3"/>
      <c r="AF21" s="3"/>
    </row>
    <row r="22" spans="2:32">
      <c r="B22" s="65" t="s">
        <v>194</v>
      </c>
      <c r="C22" s="144" t="s">
        <v>259</v>
      </c>
      <c r="D22" s="50"/>
      <c r="E22" s="55"/>
      <c r="F22" s="55"/>
      <c r="G22" s="55"/>
      <c r="H22" s="55"/>
      <c r="I22" s="131"/>
      <c r="J22" s="114"/>
      <c r="K22" s="121"/>
      <c r="L22" s="121"/>
      <c r="M22" s="121"/>
      <c r="N22" s="121"/>
      <c r="O22" s="121"/>
      <c r="P22" s="121"/>
      <c r="Q22" s="121"/>
      <c r="R22" s="121"/>
      <c r="S22" s="121"/>
      <c r="T22" s="121"/>
      <c r="U22" s="121"/>
      <c r="V22" s="121"/>
      <c r="W22" s="122"/>
      <c r="X22" s="121"/>
      <c r="Y22" s="122"/>
      <c r="Z22" s="121"/>
      <c r="AA22" s="122"/>
      <c r="AB22" s="124"/>
      <c r="AC22" s="119"/>
    </row>
    <row r="23" spans="2:32">
      <c r="B23" s="55"/>
      <c r="C23" s="55"/>
      <c r="D23" s="55"/>
      <c r="E23" s="55"/>
      <c r="F23" s="55"/>
      <c r="G23" s="55"/>
      <c r="H23" s="55"/>
      <c r="I23" s="120"/>
      <c r="J23" s="114"/>
      <c r="K23" s="50"/>
      <c r="L23" s="50"/>
      <c r="M23" s="50"/>
      <c r="N23" s="50"/>
      <c r="O23" s="50"/>
      <c r="P23" s="50"/>
      <c r="Q23" s="50"/>
      <c r="R23" s="50"/>
      <c r="S23" s="50"/>
      <c r="T23" s="50"/>
      <c r="U23" s="50"/>
      <c r="V23" s="50"/>
      <c r="W23" s="98"/>
      <c r="X23" s="50"/>
      <c r="Y23" s="98"/>
      <c r="Z23" s="50"/>
      <c r="AA23" s="98"/>
      <c r="AB23" s="99"/>
      <c r="AC23" s="119"/>
    </row>
    <row r="24" spans="2:32" ht="15.75">
      <c r="B24" s="54" t="s">
        <v>171</v>
      </c>
      <c r="C24" s="55"/>
      <c r="D24" s="55"/>
      <c r="G24" s="65" t="s">
        <v>172</v>
      </c>
      <c r="H24" s="65" t="s">
        <v>173</v>
      </c>
      <c r="I24" s="120"/>
      <c r="J24" s="114"/>
      <c r="K24" s="50" t="s">
        <v>175</v>
      </c>
      <c r="L24" s="50"/>
      <c r="M24" s="50"/>
      <c r="N24" s="50"/>
      <c r="O24" s="50"/>
      <c r="P24" s="50"/>
      <c r="Q24" s="50"/>
      <c r="R24" s="50"/>
      <c r="S24" s="50"/>
      <c r="T24" s="50"/>
      <c r="U24" s="50"/>
      <c r="V24" s="50"/>
      <c r="W24" s="98"/>
      <c r="X24" s="50"/>
      <c r="Y24" s="98"/>
      <c r="Z24" s="50"/>
      <c r="AA24" s="98"/>
      <c r="AB24" s="99"/>
      <c r="AC24" s="119"/>
    </row>
    <row r="25" spans="2:32" ht="15.75">
      <c r="B25" s="380" t="s">
        <v>269</v>
      </c>
      <c r="C25" s="381"/>
      <c r="D25" s="111"/>
      <c r="E25" s="38"/>
      <c r="F25" s="38"/>
      <c r="G25" s="39">
        <f>VLOOKUP(B25,dbf_SolCol,2,FALSE)</f>
        <v>15</v>
      </c>
      <c r="H25" s="39">
        <f>VLOOKUP(B25,dbf_SolCol,3,FALSE)</f>
        <v>70</v>
      </c>
      <c r="I25" s="40" t="s">
        <v>36</v>
      </c>
      <c r="J25" s="114"/>
      <c r="K25" s="50"/>
      <c r="L25" s="50"/>
      <c r="M25" s="50"/>
      <c r="N25" s="137" t="s">
        <v>179</v>
      </c>
      <c r="O25" s="137"/>
      <c r="P25" s="137" t="s">
        <v>180</v>
      </c>
      <c r="Q25" s="137"/>
      <c r="R25" s="137" t="s">
        <v>181</v>
      </c>
      <c r="S25" s="137"/>
      <c r="T25" s="137" t="s">
        <v>182</v>
      </c>
      <c r="U25" s="137"/>
      <c r="V25" s="137"/>
      <c r="W25" s="137"/>
      <c r="X25" s="137" t="s">
        <v>183</v>
      </c>
      <c r="Y25" s="98"/>
      <c r="Z25" s="137" t="s">
        <v>184</v>
      </c>
      <c r="AA25" s="98"/>
      <c r="AB25" s="126" t="s">
        <v>185</v>
      </c>
      <c r="AC25" s="138"/>
    </row>
    <row r="26" spans="2:32" ht="15.75">
      <c r="B26" s="54" t="s">
        <v>176</v>
      </c>
      <c r="C26" s="55"/>
      <c r="D26" s="55"/>
      <c r="E26" s="30"/>
      <c r="G26" s="65" t="s">
        <v>177</v>
      </c>
      <c r="H26" s="65" t="s">
        <v>178</v>
      </c>
      <c r="I26" s="120"/>
      <c r="J26" s="114"/>
      <c r="K26" s="50"/>
      <c r="L26" s="50"/>
      <c r="M26" s="132" t="s">
        <v>51</v>
      </c>
      <c r="N26" s="139">
        <f>294/(11*E13)</f>
        <v>2.6727272727272728</v>
      </c>
      <c r="O26" s="140" t="s">
        <v>7</v>
      </c>
      <c r="P26" s="141">
        <f>G25</f>
        <v>15</v>
      </c>
      <c r="Q26" s="140" t="s">
        <v>115</v>
      </c>
      <c r="R26" s="139">
        <f>115/(11*E13)</f>
        <v>1.0454545454545454</v>
      </c>
      <c r="S26" s="142" t="s">
        <v>7</v>
      </c>
      <c r="T26" s="136">
        <f>G27</f>
        <v>0.5</v>
      </c>
      <c r="U26" s="142" t="s">
        <v>53</v>
      </c>
      <c r="V26" s="55">
        <v>0.45</v>
      </c>
      <c r="W26" s="142" t="s">
        <v>7</v>
      </c>
      <c r="X26" s="141">
        <f>H25/100</f>
        <v>0.7</v>
      </c>
      <c r="Y26" s="140" t="s">
        <v>7</v>
      </c>
      <c r="Z26" s="143">
        <f>VLOOKUP(H27,dbf_Tankrating,2,FALSE)</f>
        <v>0.83</v>
      </c>
      <c r="AA26" s="140" t="s">
        <v>54</v>
      </c>
      <c r="AB26" s="130">
        <f>IF(B25&lt;&gt;"None",(N26*P26+R26*T26)*V26*X26*Z26,0)</f>
        <v>10.618435227272727</v>
      </c>
      <c r="AC26" s="119" t="s">
        <v>39</v>
      </c>
      <c r="AD26" s="50"/>
    </row>
    <row r="27" spans="2:32">
      <c r="B27" s="380" t="s">
        <v>186</v>
      </c>
      <c r="C27" s="382"/>
      <c r="D27" s="37"/>
      <c r="E27" s="37"/>
      <c r="F27" s="38"/>
      <c r="G27" s="39">
        <f>VLOOKUP(B27,dbf_HWST,2,FALSE)/1000</f>
        <v>0.5</v>
      </c>
      <c r="H27" s="39" t="str">
        <f>VLOOKUP(B27,dbf_HWST,3,FALSE)</f>
        <v>C</v>
      </c>
      <c r="I27" s="40" t="s">
        <v>36</v>
      </c>
      <c r="J27" s="114"/>
      <c r="K27" s="50"/>
      <c r="L27" s="50"/>
      <c r="M27" s="132"/>
      <c r="N27" s="204"/>
      <c r="O27" s="140"/>
      <c r="P27" s="204"/>
      <c r="Q27" s="140"/>
      <c r="R27" s="204"/>
      <c r="S27" s="142"/>
      <c r="T27" s="55"/>
      <c r="U27" s="142"/>
      <c r="V27" s="55"/>
      <c r="W27" s="142"/>
      <c r="X27" s="204"/>
      <c r="Y27" s="140"/>
      <c r="Z27" s="55"/>
      <c r="AA27" s="140"/>
      <c r="AB27" s="3"/>
      <c r="AC27" s="119"/>
      <c r="AD27" s="50"/>
    </row>
    <row r="28" spans="2:32" ht="13.5" thickBot="1">
      <c r="J28" s="220"/>
      <c r="K28" s="121"/>
      <c r="L28" s="121"/>
      <c r="M28" s="121"/>
      <c r="N28" s="121"/>
      <c r="O28" s="145"/>
      <c r="P28" s="121"/>
      <c r="Q28" s="121"/>
      <c r="R28" s="168"/>
      <c r="S28" s="145"/>
      <c r="T28" s="121"/>
      <c r="U28" s="145"/>
      <c r="V28" s="121"/>
      <c r="W28" s="123"/>
      <c r="X28" s="121"/>
      <c r="Y28" s="122"/>
      <c r="Z28" s="121"/>
      <c r="AA28" s="123"/>
      <c r="AB28" s="147"/>
      <c r="AC28" s="148" t="s">
        <v>115</v>
      </c>
    </row>
    <row r="29" spans="2:32">
      <c r="B29" s="55"/>
      <c r="C29" s="55"/>
      <c r="D29" s="55"/>
      <c r="E29" s="55"/>
      <c r="F29" s="55"/>
      <c r="G29" s="55"/>
      <c r="H29" s="55"/>
      <c r="I29" s="30"/>
      <c r="J29" s="220"/>
      <c r="K29" s="50"/>
      <c r="L29" s="50"/>
      <c r="M29" s="50"/>
      <c r="N29" s="50"/>
      <c r="O29" s="135"/>
      <c r="P29" s="50"/>
      <c r="Q29" s="50"/>
      <c r="R29" s="50"/>
      <c r="S29" s="135"/>
      <c r="T29" s="50"/>
      <c r="U29" s="135"/>
      <c r="V29" s="50"/>
      <c r="W29" s="117"/>
      <c r="X29" s="50"/>
      <c r="Y29" s="98"/>
      <c r="Z29" s="50"/>
      <c r="AA29" s="117"/>
      <c r="AB29" s="126" t="s">
        <v>193</v>
      </c>
      <c r="AC29" s="119"/>
    </row>
    <row r="30" spans="2:32" ht="15">
      <c r="B30" s="55"/>
      <c r="C30" s="55"/>
      <c r="D30" s="55"/>
      <c r="F30" s="55"/>
      <c r="G30"/>
      <c r="H30"/>
      <c r="I30"/>
      <c r="J30" s="220"/>
      <c r="K30" s="50" t="s">
        <v>477</v>
      </c>
      <c r="L30" s="50"/>
      <c r="M30" s="50"/>
      <c r="N30" s="50"/>
      <c r="O30" s="50"/>
      <c r="P30" s="50"/>
      <c r="Q30" s="50"/>
      <c r="R30" s="50"/>
      <c r="S30" s="50"/>
      <c r="T30" s="50"/>
      <c r="U30" s="50"/>
      <c r="V30" s="50"/>
      <c r="W30" s="98"/>
      <c r="X30" s="50"/>
      <c r="Y30" s="98"/>
      <c r="Z30" s="50"/>
      <c r="AA30" s="98"/>
      <c r="AB30" s="130">
        <f>SUM(AB13:AB26)</f>
        <v>136.61843522727273</v>
      </c>
      <c r="AC30" s="119" t="s">
        <v>39</v>
      </c>
    </row>
    <row r="31" spans="2:32">
      <c r="F31" s="55"/>
      <c r="G31" s="55"/>
      <c r="H31" s="55"/>
      <c r="I31" s="30"/>
      <c r="J31" s="220"/>
      <c r="K31" s="121"/>
      <c r="L31" s="121"/>
      <c r="M31" s="121"/>
      <c r="N31" s="121"/>
      <c r="O31" s="121"/>
      <c r="P31" s="121"/>
      <c r="Q31" s="121"/>
      <c r="R31" s="121"/>
      <c r="S31" s="121"/>
      <c r="T31" s="121"/>
      <c r="U31" s="121"/>
      <c r="V31" s="121"/>
      <c r="W31" s="122"/>
      <c r="X31" s="121"/>
      <c r="Y31" s="122"/>
      <c r="Z31" s="121"/>
      <c r="AA31" s="122"/>
      <c r="AB31" s="150"/>
      <c r="AC31" s="119"/>
    </row>
    <row r="32" spans="2:32" s="50" customFormat="1">
      <c r="B32" s="55"/>
      <c r="C32" s="55"/>
      <c r="D32" s="55"/>
      <c r="E32" s="2"/>
      <c r="F32" s="55"/>
      <c r="G32" s="55"/>
      <c r="H32" s="55"/>
      <c r="I32" s="30"/>
      <c r="J32" s="220"/>
      <c r="W32" s="98"/>
      <c r="Y32" s="98"/>
      <c r="AA32" s="98"/>
      <c r="AB32" s="151"/>
      <c r="AC32" s="152"/>
      <c r="AD32" s="2"/>
      <c r="AE32" s="3"/>
      <c r="AF32" s="3"/>
    </row>
    <row r="33" spans="2:35" s="50" customFormat="1">
      <c r="G33" s="55"/>
      <c r="J33" s="220"/>
      <c r="K33" s="50" t="s">
        <v>478</v>
      </c>
      <c r="W33" s="98"/>
      <c r="Y33" s="98"/>
      <c r="AA33" s="98"/>
      <c r="AB33" s="151"/>
      <c r="AC33" s="152"/>
      <c r="AD33" s="2"/>
      <c r="AE33" s="3"/>
      <c r="AF33" s="3"/>
    </row>
    <row r="34" spans="2:35">
      <c r="B34" s="50"/>
      <c r="C34" s="50"/>
      <c r="E34" s="50"/>
      <c r="F34" s="50"/>
      <c r="J34" s="220"/>
      <c r="K34" s="50"/>
      <c r="L34" s="50"/>
      <c r="M34" s="50"/>
      <c r="N34" s="50"/>
      <c r="O34" s="50"/>
      <c r="P34" s="50"/>
      <c r="Q34" s="50"/>
      <c r="R34" s="50"/>
      <c r="S34" s="50"/>
      <c r="T34" s="50"/>
      <c r="U34" s="50"/>
      <c r="V34" s="50"/>
      <c r="W34" s="98"/>
      <c r="X34" s="50"/>
      <c r="Y34" s="98"/>
      <c r="Z34" s="50"/>
      <c r="AA34" s="98"/>
      <c r="AB34" s="99"/>
      <c r="AC34" s="119"/>
    </row>
    <row r="35" spans="2:35" ht="15.75">
      <c r="G35" s="65" t="s">
        <v>58</v>
      </c>
      <c r="H35" s="68" t="str">
        <f>LOOKUP(AB30,tbl1_S,tbl12_R)</f>
        <v>A++</v>
      </c>
      <c r="I35" s="30" t="s">
        <v>56</v>
      </c>
      <c r="J35" s="220"/>
      <c r="K35" s="50"/>
      <c r="L35" s="153" t="str">
        <f>IF($H$35=L36,"▼","")</f>
        <v/>
      </c>
      <c r="M35" s="154"/>
      <c r="N35" s="153" t="str">
        <f>IF($H$35=N36,"▼","")</f>
        <v/>
      </c>
      <c r="O35" s="154"/>
      <c r="P35" s="153" t="str">
        <f>IF($H$35=P36,"▼","")</f>
        <v/>
      </c>
      <c r="Q35" s="154"/>
      <c r="R35" s="153" t="str">
        <f>IF($H$35=R36,"▼","")</f>
        <v/>
      </c>
      <c r="S35" s="154"/>
      <c r="T35" s="153" t="str">
        <f>IF($H$35=T36,"▼","")</f>
        <v/>
      </c>
      <c r="U35" s="154"/>
      <c r="V35" s="153" t="str">
        <f>IF($H$35=V36,"▼","")</f>
        <v/>
      </c>
      <c r="W35" s="154"/>
      <c r="X35" s="153" t="str">
        <f>IF($H$35=X36,"▼","")</f>
        <v/>
      </c>
      <c r="Y35" s="154"/>
      <c r="Z35" s="153" t="str">
        <f>IF($H$35=Z36,"▼","")</f>
        <v>▼</v>
      </c>
      <c r="AA35" s="154"/>
      <c r="AB35" s="216" t="str">
        <f>IF($H$35=AB36,"▼","")</f>
        <v/>
      </c>
      <c r="AC35" s="119"/>
    </row>
    <row r="36" spans="2:35">
      <c r="D36" s="3"/>
      <c r="J36" s="220"/>
      <c r="K36" s="50"/>
      <c r="L36" s="156" t="s">
        <v>60</v>
      </c>
      <c r="M36" s="157"/>
      <c r="N36" s="156" t="s">
        <v>61</v>
      </c>
      <c r="O36" s="157"/>
      <c r="P36" s="156" t="s">
        <v>62</v>
      </c>
      <c r="Q36" s="157"/>
      <c r="R36" s="156" t="s">
        <v>63</v>
      </c>
      <c r="S36" s="157"/>
      <c r="T36" s="156" t="s">
        <v>64</v>
      </c>
      <c r="U36" s="157"/>
      <c r="V36" s="156" t="s">
        <v>65</v>
      </c>
      <c r="W36" s="157"/>
      <c r="X36" s="156" t="s">
        <v>66</v>
      </c>
      <c r="Y36" s="157"/>
      <c r="Z36" s="156" t="s">
        <v>67</v>
      </c>
      <c r="AA36" s="157"/>
      <c r="AB36" s="158" t="s">
        <v>68</v>
      </c>
      <c r="AC36" s="119"/>
    </row>
    <row r="37" spans="2:35">
      <c r="D37" s="3"/>
      <c r="J37" s="114"/>
      <c r="K37" s="50"/>
      <c r="L37" s="159" t="s">
        <v>480</v>
      </c>
      <c r="M37" s="160"/>
      <c r="N37" s="159" t="s">
        <v>481</v>
      </c>
      <c r="O37" s="160"/>
      <c r="P37" s="159" t="s">
        <v>482</v>
      </c>
      <c r="Q37" s="160"/>
      <c r="R37" s="159" t="s">
        <v>483</v>
      </c>
      <c r="S37" s="160"/>
      <c r="T37" s="159" t="s">
        <v>484</v>
      </c>
      <c r="U37" s="160"/>
      <c r="V37" s="159" t="s">
        <v>485</v>
      </c>
      <c r="W37" s="160"/>
      <c r="X37" s="159" t="s">
        <v>486</v>
      </c>
      <c r="Y37" s="160"/>
      <c r="Z37" s="159" t="s">
        <v>211</v>
      </c>
      <c r="AA37" s="160"/>
      <c r="AB37" s="161" t="s">
        <v>487</v>
      </c>
      <c r="AC37" s="119"/>
    </row>
    <row r="38" spans="2:35">
      <c r="J38" s="114"/>
      <c r="K38" s="121"/>
      <c r="L38" s="121"/>
      <c r="M38" s="121"/>
      <c r="N38" s="121"/>
      <c r="O38" s="121"/>
      <c r="P38" s="121"/>
      <c r="Q38" s="121"/>
      <c r="R38" s="121"/>
      <c r="S38" s="121"/>
      <c r="T38" s="121"/>
      <c r="U38" s="121"/>
      <c r="V38" s="121"/>
      <c r="W38" s="122"/>
      <c r="X38" s="121"/>
      <c r="Y38" s="122"/>
      <c r="Z38" s="121"/>
      <c r="AA38" s="122"/>
      <c r="AB38" s="124"/>
      <c r="AC38" s="119"/>
    </row>
    <row r="39" spans="2:35">
      <c r="J39" s="114"/>
      <c r="K39" s="50"/>
      <c r="L39" s="50"/>
      <c r="M39" s="50"/>
      <c r="N39" s="50"/>
      <c r="O39" s="50"/>
      <c r="P39" s="50"/>
      <c r="Q39" s="50"/>
      <c r="R39" s="50"/>
      <c r="S39" s="50"/>
      <c r="T39" s="50"/>
      <c r="U39" s="50"/>
      <c r="V39" s="50"/>
      <c r="W39" s="98"/>
      <c r="X39" s="50"/>
      <c r="Y39" s="98"/>
      <c r="Z39" s="50"/>
      <c r="AA39" s="98"/>
      <c r="AB39" s="99"/>
      <c r="AC39" s="119"/>
      <c r="AD39" s="50"/>
    </row>
    <row r="40" spans="2:35">
      <c r="J40" s="114"/>
      <c r="K40" s="96" t="s">
        <v>307</v>
      </c>
      <c r="L40" s="96"/>
      <c r="M40" s="50"/>
      <c r="N40" s="50"/>
      <c r="O40" s="50"/>
      <c r="P40" s="50"/>
      <c r="Q40" s="50"/>
      <c r="R40" s="50"/>
      <c r="S40" s="50"/>
      <c r="T40" s="50"/>
      <c r="U40" s="50"/>
      <c r="V40" s="50"/>
      <c r="W40" s="98"/>
      <c r="X40" s="96"/>
      <c r="Y40" s="96"/>
      <c r="Z40" s="96"/>
      <c r="AA40" s="98"/>
      <c r="AB40" s="99"/>
      <c r="AC40" s="119"/>
    </row>
    <row r="41" spans="2:35">
      <c r="J41" s="114"/>
      <c r="K41" s="50"/>
      <c r="L41" s="50"/>
      <c r="M41" s="50"/>
      <c r="N41" s="146" t="s">
        <v>193</v>
      </c>
      <c r="O41" s="50"/>
      <c r="P41" s="117" t="s">
        <v>246</v>
      </c>
      <c r="Q41" s="50"/>
      <c r="R41" s="50"/>
      <c r="S41" s="50"/>
      <c r="T41" s="50"/>
      <c r="U41" s="50"/>
      <c r="V41" s="50"/>
      <c r="W41" s="137"/>
      <c r="X41" s="221" t="s">
        <v>193</v>
      </c>
      <c r="Y41" s="98"/>
      <c r="Z41" s="117" t="s">
        <v>247</v>
      </c>
      <c r="AA41" s="98"/>
      <c r="AB41" s="165"/>
      <c r="AC41" s="119"/>
    </row>
    <row r="42" spans="2:35">
      <c r="J42" s="114"/>
      <c r="K42" s="50"/>
      <c r="L42" s="134" t="s">
        <v>111</v>
      </c>
      <c r="M42" s="50"/>
      <c r="N42" s="167">
        <f>AB30</f>
        <v>136.61843522727273</v>
      </c>
      <c r="O42" s="135" t="s">
        <v>52</v>
      </c>
      <c r="P42" s="136">
        <f>G13</f>
        <v>5</v>
      </c>
      <c r="Q42" s="135" t="s">
        <v>54</v>
      </c>
      <c r="R42" s="130">
        <f>N42-P42</f>
        <v>131.61843522727273</v>
      </c>
      <c r="S42" s="50" t="s">
        <v>39</v>
      </c>
      <c r="T42" s="50"/>
      <c r="U42" s="50"/>
      <c r="V42" s="50" t="s">
        <v>308</v>
      </c>
      <c r="W42" s="135"/>
      <c r="X42" s="130">
        <f>AB30</f>
        <v>136.61843522727273</v>
      </c>
      <c r="Y42" s="117" t="s">
        <v>115</v>
      </c>
      <c r="Z42" s="136">
        <f>H13</f>
        <v>5</v>
      </c>
      <c r="AA42" s="117" t="s">
        <v>54</v>
      </c>
      <c r="AB42" s="130">
        <f>X42+Z42</f>
        <v>141.61843522727273</v>
      </c>
      <c r="AC42" s="119" t="s">
        <v>39</v>
      </c>
    </row>
    <row r="43" spans="2:35">
      <c r="J43" s="114"/>
      <c r="K43" s="121"/>
      <c r="L43" s="121"/>
      <c r="M43" s="121"/>
      <c r="N43" s="121"/>
      <c r="O43" s="121"/>
      <c r="P43" s="121"/>
      <c r="Q43" s="121"/>
      <c r="R43" s="121"/>
      <c r="S43" s="168"/>
      <c r="T43" s="169"/>
      <c r="U43" s="170"/>
      <c r="V43" s="168"/>
      <c r="W43" s="171"/>
      <c r="X43" s="168"/>
      <c r="Y43" s="171"/>
      <c r="Z43" s="168"/>
      <c r="AA43" s="171"/>
      <c r="AB43" s="150"/>
      <c r="AC43" s="119"/>
      <c r="AD43" s="50"/>
    </row>
    <row r="44" spans="2:35" ht="15">
      <c r="J44" s="114"/>
      <c r="K44" s="50"/>
      <c r="L44" s="50"/>
      <c r="M44" s="50"/>
      <c r="N44" s="50"/>
      <c r="O44" s="50"/>
      <c r="P44" s="50"/>
      <c r="Q44" s="50"/>
      <c r="R44" s="50"/>
      <c r="S44" s="50"/>
      <c r="T44" s="50"/>
      <c r="U44" s="50"/>
      <c r="V44" s="50"/>
      <c r="W44" s="98"/>
      <c r="X44" s="50"/>
      <c r="Y44" s="98"/>
      <c r="Z44" s="50"/>
      <c r="AA44" s="98"/>
      <c r="AB44" s="99"/>
      <c r="AC44" s="119"/>
      <c r="AD44" s="50"/>
      <c r="AE44" t="s">
        <v>471</v>
      </c>
    </row>
    <row r="45" spans="2:35" ht="11.25" customHeight="1">
      <c r="J45" s="114"/>
      <c r="K45" s="50"/>
      <c r="L45" s="50"/>
      <c r="M45" s="50"/>
      <c r="N45" s="50"/>
      <c r="O45" s="50"/>
      <c r="P45" s="50"/>
      <c r="Q45" s="50"/>
      <c r="R45" s="50"/>
      <c r="S45" s="50"/>
      <c r="T45" s="50"/>
      <c r="U45" s="50"/>
      <c r="V45" s="50"/>
      <c r="W45" s="98"/>
      <c r="X45" s="50"/>
      <c r="Y45" s="98"/>
      <c r="Z45" s="50"/>
      <c r="AA45" s="98"/>
      <c r="AB45" s="99"/>
      <c r="AC45" s="119"/>
      <c r="AE45" s="369" t="s">
        <v>472</v>
      </c>
    </row>
    <row r="46" spans="2:35" ht="15">
      <c r="J46" s="114"/>
      <c r="K46" s="50"/>
      <c r="L46" s="50"/>
      <c r="M46" s="50"/>
      <c r="N46" s="50"/>
      <c r="O46" s="50"/>
      <c r="P46" s="50"/>
      <c r="Q46" s="50"/>
      <c r="R46" s="50"/>
      <c r="S46" s="50"/>
      <c r="T46" s="50"/>
      <c r="U46" s="50"/>
      <c r="V46" s="50"/>
      <c r="W46" s="98"/>
      <c r="X46" s="50"/>
      <c r="Y46" s="98"/>
      <c r="Z46" s="50"/>
      <c r="AA46" s="98"/>
      <c r="AB46" s="99"/>
      <c r="AC46" s="119"/>
      <c r="AE46" s="369" t="s">
        <v>476</v>
      </c>
      <c r="AF46"/>
      <c r="AG46"/>
      <c r="AH46"/>
      <c r="AI46"/>
    </row>
    <row r="47" spans="2:35" ht="15">
      <c r="J47" s="114"/>
      <c r="K47" s="50"/>
      <c r="L47" s="50"/>
      <c r="M47" s="50"/>
      <c r="N47" s="50"/>
      <c r="O47" s="50"/>
      <c r="P47" s="50"/>
      <c r="Q47" s="50"/>
      <c r="R47" s="50"/>
      <c r="S47" s="50"/>
      <c r="T47" s="50"/>
      <c r="U47" s="50"/>
      <c r="V47" s="50"/>
      <c r="W47" s="98"/>
      <c r="X47" s="50"/>
      <c r="Y47" s="98"/>
      <c r="Z47" s="50"/>
      <c r="AA47" s="98"/>
      <c r="AB47" s="99"/>
      <c r="AC47" s="119"/>
      <c r="AE47" s="369" t="s">
        <v>479</v>
      </c>
      <c r="AF47"/>
      <c r="AG47"/>
      <c r="AH47"/>
      <c r="AI47"/>
    </row>
    <row r="48" spans="2:35" ht="15.75" thickBot="1">
      <c r="J48" s="179"/>
      <c r="K48" s="180"/>
      <c r="L48" s="180"/>
      <c r="M48" s="180"/>
      <c r="N48" s="180"/>
      <c r="O48" s="180"/>
      <c r="P48" s="180"/>
      <c r="Q48" s="180"/>
      <c r="R48" s="180"/>
      <c r="S48" s="180"/>
      <c r="T48" s="180"/>
      <c r="U48" s="180"/>
      <c r="V48" s="180"/>
      <c r="W48" s="222"/>
      <c r="X48" s="180"/>
      <c r="Y48" s="222"/>
      <c r="Z48" s="180"/>
      <c r="AA48" s="222"/>
      <c r="AB48" s="223"/>
      <c r="AC48" s="186"/>
      <c r="AE48" s="369" t="s">
        <v>491</v>
      </c>
      <c r="AF48"/>
      <c r="AG48"/>
      <c r="AH48"/>
      <c r="AI48"/>
    </row>
    <row r="49" spans="2:35" ht="15">
      <c r="J49" s="50"/>
      <c r="K49" s="50"/>
      <c r="L49" s="50"/>
      <c r="M49" s="50"/>
      <c r="N49" s="50"/>
      <c r="O49" s="50"/>
      <c r="P49" s="50"/>
      <c r="Q49" s="50"/>
      <c r="R49" s="50"/>
      <c r="S49" s="50"/>
      <c r="T49" s="50"/>
      <c r="U49" s="50"/>
      <c r="V49" s="50"/>
      <c r="W49" s="98"/>
      <c r="X49" s="50"/>
      <c r="Y49" s="98"/>
      <c r="Z49" s="50"/>
      <c r="AA49" s="98"/>
      <c r="AB49" s="99"/>
      <c r="AC49" s="98"/>
      <c r="AE49"/>
      <c r="AF49"/>
      <c r="AG49"/>
      <c r="AH49"/>
      <c r="AI49"/>
    </row>
    <row r="50" spans="2:35" ht="15">
      <c r="B50"/>
      <c r="C50"/>
      <c r="D50"/>
      <c r="E50"/>
      <c r="F50"/>
      <c r="G50"/>
      <c r="H50"/>
      <c r="J50" s="50"/>
      <c r="K50" s="50"/>
      <c r="L50" s="50"/>
      <c r="M50" s="50"/>
      <c r="N50" s="50"/>
      <c r="O50" s="50"/>
      <c r="P50" s="50"/>
      <c r="Q50" s="50"/>
      <c r="R50" s="50"/>
      <c r="S50" s="50"/>
      <c r="T50" s="50"/>
      <c r="U50" s="50"/>
      <c r="V50" s="50"/>
      <c r="W50" s="98"/>
      <c r="X50" s="50"/>
      <c r="Y50" s="98"/>
      <c r="Z50" s="50"/>
      <c r="AA50" s="98"/>
      <c r="AB50" s="99"/>
      <c r="AC50" s="98"/>
      <c r="AE50"/>
      <c r="AF50"/>
      <c r="AG50"/>
      <c r="AH50"/>
      <c r="AI50"/>
    </row>
    <row r="51" spans="2:35" ht="15">
      <c r="B51"/>
      <c r="C51"/>
      <c r="D51"/>
      <c r="E51"/>
      <c r="F51"/>
      <c r="G51"/>
      <c r="H51"/>
      <c r="J51" s="50"/>
      <c r="K51" s="50"/>
      <c r="L51" s="4"/>
      <c r="M51" s="50"/>
      <c r="N51" s="50"/>
      <c r="O51" s="50"/>
      <c r="P51" s="50"/>
      <c r="Q51" s="50"/>
      <c r="R51" s="50"/>
      <c r="S51" s="50"/>
      <c r="T51" s="50"/>
      <c r="U51" s="50"/>
      <c r="V51" s="50"/>
      <c r="W51" s="98"/>
      <c r="X51" s="50"/>
      <c r="Y51" s="98"/>
      <c r="Z51" s="50"/>
      <c r="AA51" s="98"/>
      <c r="AB51" s="99"/>
      <c r="AC51" s="98"/>
      <c r="AE51"/>
      <c r="AF51"/>
      <c r="AG51"/>
      <c r="AH51"/>
      <c r="AI51"/>
    </row>
    <row r="52" spans="2:35" ht="15">
      <c r="B52"/>
      <c r="C52"/>
      <c r="D52"/>
      <c r="E52"/>
      <c r="F52"/>
      <c r="G52"/>
      <c r="H52"/>
      <c r="J52" s="50"/>
      <c r="K52" s="174"/>
      <c r="L52" s="209"/>
      <c r="M52" s="50"/>
      <c r="N52" s="50"/>
      <c r="O52" s="50"/>
      <c r="P52" s="50"/>
      <c r="Q52" s="50"/>
      <c r="R52" s="50"/>
      <c r="S52" s="55"/>
      <c r="T52" s="175"/>
      <c r="U52" s="142"/>
      <c r="V52" s="55"/>
      <c r="W52" s="140"/>
      <c r="X52" s="55"/>
      <c r="Y52" s="140"/>
      <c r="Z52" s="55"/>
      <c r="AA52" s="140"/>
      <c r="AB52" s="151"/>
      <c r="AC52" s="98"/>
      <c r="AE52"/>
      <c r="AF52"/>
      <c r="AG52"/>
      <c r="AH52"/>
      <c r="AI52"/>
    </row>
    <row r="53" spans="2:35" ht="15">
      <c r="B53"/>
      <c r="C53"/>
      <c r="D53"/>
      <c r="E53"/>
      <c r="F53"/>
      <c r="G53"/>
      <c r="H53"/>
      <c r="J53" s="50"/>
      <c r="K53" s="174"/>
      <c r="L53" s="209"/>
      <c r="M53" s="50"/>
      <c r="N53" s="50"/>
      <c r="O53" s="50"/>
      <c r="P53" s="50"/>
      <c r="Q53" s="50"/>
      <c r="R53" s="50"/>
      <c r="S53" s="55"/>
      <c r="T53" s="175"/>
      <c r="U53" s="142"/>
      <c r="V53" s="55"/>
      <c r="W53" s="140"/>
      <c r="X53" s="55"/>
      <c r="Y53" s="140"/>
      <c r="Z53" s="55"/>
      <c r="AA53" s="140"/>
      <c r="AB53" s="151"/>
      <c r="AC53" s="98"/>
      <c r="AE53"/>
      <c r="AF53"/>
      <c r="AG53"/>
      <c r="AH53"/>
      <c r="AI53"/>
    </row>
    <row r="54" spans="2:35" ht="15">
      <c r="B54"/>
      <c r="C54"/>
      <c r="D54"/>
      <c r="E54"/>
      <c r="F54"/>
      <c r="G54"/>
      <c r="H54"/>
      <c r="J54" s="50"/>
      <c r="K54" s="174"/>
      <c r="L54" s="209"/>
      <c r="M54" s="50"/>
      <c r="N54" s="50"/>
      <c r="O54" s="50"/>
      <c r="P54" s="50"/>
      <c r="Q54" s="50"/>
      <c r="R54" s="50"/>
      <c r="S54" s="55"/>
      <c r="T54" s="175"/>
      <c r="U54" s="142"/>
      <c r="V54" s="55"/>
      <c r="W54" s="140"/>
      <c r="X54" s="55"/>
      <c r="Y54" s="140"/>
      <c r="Z54" s="55"/>
      <c r="AA54" s="140"/>
      <c r="AB54" s="151"/>
      <c r="AC54" s="98"/>
      <c r="AE54"/>
      <c r="AF54"/>
      <c r="AG54"/>
      <c r="AH54"/>
      <c r="AI54"/>
    </row>
    <row r="55" spans="2:35" ht="15">
      <c r="B55"/>
      <c r="C55"/>
      <c r="D55"/>
      <c r="E55"/>
      <c r="F55"/>
      <c r="G55"/>
      <c r="H55"/>
      <c r="J55" s="50"/>
      <c r="K55" s="50"/>
      <c r="L55" s="209"/>
      <c r="M55" s="50"/>
      <c r="N55" s="50"/>
      <c r="O55" s="50"/>
      <c r="P55" s="50"/>
      <c r="Q55" s="50"/>
      <c r="R55" s="50"/>
      <c r="S55" s="55"/>
      <c r="T55" s="175"/>
      <c r="U55" s="142"/>
      <c r="V55" s="55"/>
      <c r="W55" s="140"/>
      <c r="X55" s="55"/>
      <c r="Y55" s="140"/>
      <c r="Z55" s="55"/>
      <c r="AA55" s="140"/>
      <c r="AB55" s="151"/>
      <c r="AC55" s="98"/>
      <c r="AD55" s="50"/>
      <c r="AE55"/>
      <c r="AF55"/>
      <c r="AG55"/>
      <c r="AH55"/>
      <c r="AI55"/>
    </row>
    <row r="56" spans="2:35" ht="15">
      <c r="B56"/>
      <c r="C56"/>
      <c r="D56"/>
      <c r="E56"/>
      <c r="F56"/>
      <c r="G56"/>
      <c r="H56"/>
      <c r="J56" s="50"/>
      <c r="K56" s="50"/>
      <c r="L56" s="209"/>
      <c r="M56" s="50"/>
      <c r="N56" s="50"/>
      <c r="O56" s="50"/>
      <c r="P56" s="50"/>
      <c r="Q56" s="50"/>
      <c r="R56" s="50"/>
      <c r="S56" s="55"/>
      <c r="T56" s="175"/>
      <c r="U56" s="142"/>
      <c r="V56" s="55"/>
      <c r="W56" s="140"/>
      <c r="X56" s="55"/>
      <c r="Y56" s="140"/>
      <c r="Z56" s="55"/>
      <c r="AA56" s="140"/>
      <c r="AB56" s="151"/>
      <c r="AC56" s="98"/>
      <c r="AD56" s="50"/>
      <c r="AE56"/>
      <c r="AF56"/>
      <c r="AG56"/>
      <c r="AH56"/>
      <c r="AI56"/>
    </row>
    <row r="57" spans="2:35" ht="15">
      <c r="B57"/>
      <c r="C57"/>
      <c r="D57"/>
      <c r="E57"/>
      <c r="F57"/>
      <c r="G57"/>
      <c r="H57"/>
      <c r="L57" s="209"/>
      <c r="AE57"/>
      <c r="AF57"/>
      <c r="AG57"/>
      <c r="AH57"/>
      <c r="AI57"/>
    </row>
    <row r="58" spans="2:35" ht="15">
      <c r="B58"/>
      <c r="C58"/>
      <c r="D58"/>
      <c r="E58"/>
      <c r="F58"/>
      <c r="G58"/>
      <c r="H58"/>
      <c r="L58" s="209"/>
      <c r="W58" s="2"/>
      <c r="Y58" s="2"/>
      <c r="AE58"/>
      <c r="AF58"/>
      <c r="AG58"/>
      <c r="AH58"/>
      <c r="AI58"/>
    </row>
    <row r="59" spans="2:35" ht="15">
      <c r="B59"/>
      <c r="C59"/>
      <c r="D59"/>
      <c r="E59"/>
      <c r="F59"/>
      <c r="G59"/>
      <c r="H59"/>
      <c r="L59" s="209"/>
      <c r="W59" s="2"/>
      <c r="Y59" s="2"/>
      <c r="AE59"/>
      <c r="AF59"/>
      <c r="AG59"/>
      <c r="AH59"/>
      <c r="AI59"/>
    </row>
    <row r="60" spans="2:35" ht="15">
      <c r="B60"/>
      <c r="C60"/>
      <c r="D60"/>
      <c r="E60"/>
      <c r="F60"/>
      <c r="G60"/>
      <c r="H60"/>
      <c r="L60" s="209"/>
      <c r="W60" s="2"/>
      <c r="Y60" s="2"/>
      <c r="AE60"/>
      <c r="AF60"/>
      <c r="AG60"/>
      <c r="AH60"/>
      <c r="AI60"/>
    </row>
    <row r="61" spans="2:35" ht="15">
      <c r="B61"/>
      <c r="C61"/>
      <c r="D61"/>
      <c r="E61"/>
      <c r="F61"/>
      <c r="G61"/>
      <c r="H61"/>
      <c r="W61" s="2"/>
      <c r="Y61" s="2"/>
      <c r="AE61"/>
      <c r="AF61"/>
      <c r="AG61"/>
      <c r="AH61"/>
      <c r="AI61"/>
    </row>
    <row r="62" spans="2:35" ht="15">
      <c r="B62"/>
      <c r="C62"/>
      <c r="D62"/>
      <c r="E62"/>
      <c r="F62"/>
      <c r="G62"/>
      <c r="H62"/>
      <c r="W62" s="2"/>
      <c r="Y62" s="2"/>
      <c r="AE62"/>
      <c r="AF62"/>
      <c r="AG62"/>
      <c r="AH62"/>
      <c r="AI62"/>
    </row>
    <row r="63" spans="2:35" ht="15">
      <c r="B63"/>
      <c r="C63"/>
      <c r="D63"/>
      <c r="E63"/>
      <c r="F63"/>
      <c r="G63"/>
      <c r="H63"/>
      <c r="W63" s="2"/>
      <c r="Y63" s="2"/>
      <c r="AE63"/>
      <c r="AF63"/>
      <c r="AG63"/>
      <c r="AH63"/>
      <c r="AI63"/>
    </row>
    <row r="64" spans="2:35" ht="15">
      <c r="B64"/>
      <c r="C64"/>
      <c r="D64"/>
      <c r="E64"/>
      <c r="F64"/>
      <c r="G64"/>
      <c r="H64"/>
      <c r="W64" s="2"/>
      <c r="Y64" s="2"/>
      <c r="AE64"/>
      <c r="AF64"/>
      <c r="AG64"/>
      <c r="AH64"/>
      <c r="AI64"/>
    </row>
    <row r="65" spans="2:35" ht="15">
      <c r="B65"/>
      <c r="C65"/>
      <c r="D65"/>
      <c r="E65"/>
      <c r="F65"/>
      <c r="G65"/>
      <c r="H65"/>
      <c r="W65" s="2"/>
      <c r="Y65" s="2"/>
      <c r="AE65"/>
      <c r="AF65"/>
      <c r="AG65"/>
      <c r="AH65"/>
      <c r="AI65"/>
    </row>
    <row r="66" spans="2:35" ht="15">
      <c r="B66"/>
      <c r="C66"/>
      <c r="D66"/>
      <c r="E66"/>
      <c r="F66"/>
      <c r="G66"/>
      <c r="H66"/>
      <c r="W66" s="2"/>
      <c r="Y66" s="2"/>
      <c r="AE66"/>
      <c r="AF66"/>
      <c r="AG66"/>
      <c r="AH66"/>
      <c r="AI66"/>
    </row>
    <row r="67" spans="2:35" ht="15">
      <c r="B67"/>
      <c r="C67"/>
      <c r="D67"/>
      <c r="E67"/>
      <c r="F67"/>
      <c r="G67"/>
      <c r="H67"/>
      <c r="W67" s="2"/>
      <c r="Y67" s="2"/>
      <c r="AE67"/>
      <c r="AF67"/>
      <c r="AG67"/>
      <c r="AH67"/>
      <c r="AI67"/>
    </row>
    <row r="68" spans="2:35" ht="15">
      <c r="B68"/>
      <c r="C68"/>
      <c r="D68"/>
      <c r="E68"/>
      <c r="F68"/>
      <c r="G68"/>
      <c r="H68"/>
      <c r="W68" s="2"/>
      <c r="Y68" s="2"/>
      <c r="AE68"/>
      <c r="AF68"/>
      <c r="AG68"/>
      <c r="AH68"/>
      <c r="AI68"/>
    </row>
    <row r="69" spans="2:35" ht="15">
      <c r="B69"/>
      <c r="C69"/>
      <c r="D69"/>
      <c r="E69"/>
      <c r="F69"/>
      <c r="G69"/>
      <c r="H69"/>
      <c r="W69" s="2"/>
      <c r="Y69" s="2"/>
      <c r="AE69"/>
      <c r="AF69"/>
      <c r="AG69"/>
      <c r="AH69"/>
      <c r="AI69"/>
    </row>
    <row r="70" spans="2:35" ht="15">
      <c r="B70"/>
      <c r="C70"/>
      <c r="D70"/>
      <c r="E70"/>
      <c r="F70"/>
      <c r="G70"/>
      <c r="H70"/>
      <c r="W70" s="2"/>
      <c r="Y70" s="2"/>
      <c r="AE70"/>
      <c r="AF70"/>
      <c r="AG70"/>
      <c r="AH70"/>
      <c r="AI70"/>
    </row>
    <row r="71" spans="2:35" ht="15">
      <c r="B71"/>
      <c r="C71"/>
      <c r="D71"/>
      <c r="E71"/>
      <c r="F71"/>
      <c r="G71"/>
      <c r="H71"/>
      <c r="W71" s="2"/>
      <c r="Y71" s="2"/>
      <c r="AE71"/>
      <c r="AF71"/>
      <c r="AG71"/>
      <c r="AH71"/>
      <c r="AI71"/>
    </row>
    <row r="72" spans="2:35" ht="15">
      <c r="B72"/>
      <c r="C72"/>
      <c r="D72"/>
      <c r="E72"/>
      <c r="F72"/>
      <c r="G72"/>
      <c r="H72"/>
      <c r="W72" s="2"/>
      <c r="Y72" s="2"/>
      <c r="AE72"/>
      <c r="AF72"/>
      <c r="AG72"/>
      <c r="AH72"/>
      <c r="AI72"/>
    </row>
    <row r="73" spans="2:35" ht="15">
      <c r="B73"/>
      <c r="C73"/>
      <c r="D73"/>
      <c r="E73"/>
      <c r="F73"/>
      <c r="G73"/>
      <c r="H73"/>
      <c r="W73" s="2"/>
      <c r="Y73" s="2"/>
      <c r="AE73"/>
      <c r="AF73"/>
      <c r="AG73"/>
      <c r="AH73"/>
      <c r="AI73"/>
    </row>
    <row r="74" spans="2:35" ht="15">
      <c r="B74"/>
      <c r="C74"/>
      <c r="D74"/>
      <c r="E74"/>
      <c r="F74"/>
      <c r="G74"/>
      <c r="H74"/>
      <c r="W74" s="2"/>
      <c r="Y74" s="2"/>
      <c r="AE74"/>
      <c r="AF74"/>
      <c r="AG74"/>
      <c r="AH74"/>
      <c r="AI74"/>
    </row>
    <row r="75" spans="2:35" ht="15">
      <c r="B75"/>
      <c r="C75"/>
      <c r="D75"/>
      <c r="E75"/>
      <c r="F75"/>
      <c r="G75"/>
      <c r="H75"/>
      <c r="W75" s="2"/>
      <c r="Y75" s="2"/>
      <c r="AE75"/>
      <c r="AF75"/>
      <c r="AG75"/>
      <c r="AH75"/>
      <c r="AI75"/>
    </row>
    <row r="76" spans="2:35" ht="15">
      <c r="B76"/>
      <c r="C76"/>
      <c r="D76"/>
      <c r="E76"/>
      <c r="F76"/>
      <c r="G76"/>
      <c r="H76"/>
      <c r="W76" s="2"/>
      <c r="Y76" s="2"/>
      <c r="AE76"/>
      <c r="AF76"/>
      <c r="AG76"/>
      <c r="AH76"/>
      <c r="AI76"/>
    </row>
    <row r="77" spans="2:35" ht="15">
      <c r="B77"/>
      <c r="C77"/>
      <c r="D77"/>
      <c r="E77"/>
      <c r="F77"/>
      <c r="G77"/>
      <c r="H77"/>
      <c r="W77" s="2"/>
      <c r="Y77" s="2"/>
      <c r="AE77"/>
      <c r="AF77"/>
      <c r="AG77"/>
      <c r="AH77"/>
      <c r="AI77"/>
    </row>
    <row r="78" spans="2:35" ht="15">
      <c r="B78"/>
      <c r="C78"/>
      <c r="D78"/>
      <c r="E78"/>
      <c r="F78"/>
      <c r="G78"/>
      <c r="H78"/>
      <c r="AE78"/>
      <c r="AF78"/>
      <c r="AG78"/>
      <c r="AH78"/>
      <c r="AI78"/>
    </row>
    <row r="79" spans="2:35" ht="15">
      <c r="B79"/>
      <c r="C79"/>
      <c r="D79"/>
      <c r="E79"/>
      <c r="F79"/>
      <c r="G79"/>
      <c r="H79"/>
      <c r="AE79"/>
      <c r="AF79"/>
      <c r="AG79"/>
      <c r="AH79"/>
      <c r="AI79"/>
    </row>
    <row r="80" spans="2:35" ht="15">
      <c r="B80"/>
      <c r="C80"/>
      <c r="D80"/>
      <c r="E80"/>
      <c r="F80"/>
      <c r="G80"/>
      <c r="H80"/>
      <c r="AE80"/>
      <c r="AF80"/>
      <c r="AG80"/>
      <c r="AH80"/>
      <c r="AI80"/>
    </row>
    <row r="81" spans="2:35" ht="15">
      <c r="B81"/>
      <c r="C81"/>
      <c r="D81"/>
      <c r="E81"/>
      <c r="F81"/>
      <c r="G81"/>
      <c r="H81"/>
      <c r="AE81"/>
      <c r="AF81"/>
      <c r="AG81"/>
      <c r="AH81"/>
      <c r="AI81"/>
    </row>
    <row r="82" spans="2:35" ht="15">
      <c r="B82"/>
      <c r="C82"/>
      <c r="D82"/>
      <c r="E82"/>
      <c r="F82"/>
      <c r="G82"/>
      <c r="H82"/>
      <c r="AE82"/>
      <c r="AF82"/>
      <c r="AG82"/>
      <c r="AH82"/>
      <c r="AI82"/>
    </row>
    <row r="83" spans="2:35" ht="15">
      <c r="B83"/>
      <c r="C83"/>
      <c r="D83"/>
      <c r="E83"/>
      <c r="F83"/>
      <c r="G83"/>
      <c r="H83"/>
      <c r="AE83"/>
      <c r="AF83"/>
      <c r="AG83"/>
      <c r="AH83"/>
      <c r="AI83"/>
    </row>
    <row r="84" spans="2:35" ht="15">
      <c r="B84"/>
      <c r="C84"/>
      <c r="D84"/>
      <c r="E84"/>
      <c r="F84"/>
      <c r="G84"/>
      <c r="H84"/>
      <c r="AE84"/>
      <c r="AF84"/>
      <c r="AG84"/>
      <c r="AH84"/>
      <c r="AI84"/>
    </row>
    <row r="85" spans="2:35" ht="15">
      <c r="B85"/>
      <c r="C85"/>
      <c r="D85"/>
      <c r="E85"/>
      <c r="F85"/>
      <c r="G85"/>
      <c r="H85"/>
      <c r="AE85"/>
      <c r="AF85"/>
      <c r="AG85"/>
      <c r="AH85"/>
      <c r="AI85"/>
    </row>
    <row r="86" spans="2:35" ht="15">
      <c r="B86"/>
      <c r="C86"/>
      <c r="D86"/>
      <c r="E86"/>
      <c r="F86"/>
      <c r="G86"/>
      <c r="H86"/>
      <c r="AE86"/>
      <c r="AF86"/>
      <c r="AG86"/>
      <c r="AH86"/>
      <c r="AI86"/>
    </row>
    <row r="87" spans="2:35" ht="15">
      <c r="B87"/>
      <c r="C87"/>
      <c r="D87"/>
      <c r="E87"/>
      <c r="F87"/>
      <c r="G87"/>
      <c r="H87"/>
      <c r="AE87"/>
      <c r="AF87"/>
      <c r="AG87"/>
      <c r="AH87"/>
      <c r="AI87"/>
    </row>
    <row r="88" spans="2:35" ht="15">
      <c r="B88"/>
      <c r="C88"/>
      <c r="D88"/>
      <c r="E88"/>
      <c r="F88"/>
      <c r="G88"/>
      <c r="H88"/>
      <c r="AE88"/>
      <c r="AF88"/>
      <c r="AG88"/>
      <c r="AH88"/>
      <c r="AI88"/>
    </row>
    <row r="89" spans="2:35" ht="15">
      <c r="B89"/>
      <c r="C89"/>
      <c r="D89"/>
      <c r="E89"/>
      <c r="F89"/>
      <c r="G89"/>
      <c r="H89"/>
      <c r="AE89"/>
      <c r="AF89"/>
      <c r="AG89"/>
      <c r="AH89"/>
      <c r="AI89"/>
    </row>
    <row r="90" spans="2:35" ht="15">
      <c r="B90"/>
      <c r="C90"/>
      <c r="D90"/>
      <c r="E90"/>
      <c r="F90"/>
      <c r="G90"/>
      <c r="H90"/>
      <c r="AE90"/>
      <c r="AF90"/>
      <c r="AG90"/>
      <c r="AH90"/>
      <c r="AI90"/>
    </row>
    <row r="91" spans="2:35" ht="15">
      <c r="B91"/>
      <c r="C91"/>
      <c r="D91"/>
      <c r="E91"/>
      <c r="F91"/>
      <c r="G91"/>
      <c r="H91"/>
      <c r="AE91"/>
      <c r="AF91"/>
      <c r="AG91"/>
      <c r="AH91"/>
      <c r="AI91"/>
    </row>
    <row r="92" spans="2:35" ht="15">
      <c r="B92"/>
      <c r="C92"/>
      <c r="D92"/>
      <c r="E92"/>
      <c r="F92"/>
      <c r="G92"/>
      <c r="H92"/>
      <c r="AE92"/>
      <c r="AF92"/>
      <c r="AG92"/>
      <c r="AH92"/>
      <c r="AI92"/>
    </row>
    <row r="93" spans="2:35" ht="15">
      <c r="B93"/>
      <c r="C93"/>
      <c r="D93"/>
      <c r="E93"/>
      <c r="F93"/>
      <c r="G93"/>
      <c r="H93"/>
      <c r="AE93"/>
      <c r="AF93"/>
      <c r="AG93"/>
      <c r="AH93"/>
      <c r="AI93"/>
    </row>
    <row r="94" spans="2:35" ht="15">
      <c r="B94"/>
      <c r="C94"/>
      <c r="D94"/>
      <c r="E94"/>
      <c r="F94"/>
      <c r="G94"/>
      <c r="H94"/>
      <c r="AE94"/>
      <c r="AF94"/>
      <c r="AG94"/>
      <c r="AH94"/>
      <c r="AI94"/>
    </row>
    <row r="95" spans="2:35" ht="15">
      <c r="B95"/>
      <c r="C95"/>
      <c r="D95"/>
      <c r="E95"/>
      <c r="F95"/>
      <c r="G95"/>
      <c r="H95"/>
      <c r="AE95"/>
      <c r="AF95"/>
      <c r="AG95"/>
      <c r="AH95"/>
      <c r="AI95"/>
    </row>
    <row r="96" spans="2:35" ht="15">
      <c r="B96"/>
      <c r="C96"/>
      <c r="D96"/>
      <c r="E96"/>
      <c r="F96"/>
      <c r="G96"/>
      <c r="H96"/>
      <c r="AE96"/>
      <c r="AF96"/>
      <c r="AG96"/>
      <c r="AH96"/>
      <c r="AI96"/>
    </row>
    <row r="97" spans="2:35" ht="15">
      <c r="B97"/>
      <c r="C97"/>
      <c r="D97"/>
      <c r="E97"/>
      <c r="F97"/>
      <c r="G97"/>
      <c r="H97"/>
      <c r="AE97"/>
      <c r="AF97"/>
      <c r="AG97"/>
      <c r="AH97"/>
      <c r="AI97"/>
    </row>
    <row r="98" spans="2:35" ht="15">
      <c r="B98"/>
      <c r="C98"/>
      <c r="D98"/>
      <c r="E98"/>
      <c r="F98"/>
      <c r="G98"/>
      <c r="H98"/>
      <c r="AE98"/>
      <c r="AF98"/>
      <c r="AG98"/>
      <c r="AH98"/>
      <c r="AI98"/>
    </row>
    <row r="99" spans="2:35" ht="15">
      <c r="B99"/>
      <c r="C99"/>
      <c r="D99"/>
      <c r="E99"/>
      <c r="F99"/>
      <c r="G99"/>
      <c r="H99"/>
      <c r="AE99"/>
      <c r="AF99"/>
      <c r="AG99"/>
      <c r="AH99"/>
      <c r="AI99"/>
    </row>
    <row r="100" spans="2:35" ht="15">
      <c r="B100"/>
      <c r="C100"/>
      <c r="D100"/>
      <c r="E100"/>
      <c r="F100"/>
      <c r="G100"/>
      <c r="H100"/>
      <c r="AE100"/>
      <c r="AF100"/>
      <c r="AG100"/>
      <c r="AH100"/>
      <c r="AI100"/>
    </row>
    <row r="101" spans="2:35" ht="15">
      <c r="B101"/>
      <c r="C101"/>
      <c r="D101"/>
      <c r="E101"/>
      <c r="F101"/>
      <c r="G101"/>
      <c r="H101"/>
      <c r="AE101"/>
      <c r="AF101"/>
      <c r="AG101"/>
      <c r="AH101"/>
      <c r="AI101"/>
    </row>
    <row r="102" spans="2:35" ht="15">
      <c r="B102"/>
      <c r="C102"/>
      <c r="D102"/>
      <c r="E102"/>
      <c r="F102"/>
      <c r="G102"/>
      <c r="H102"/>
      <c r="AE102"/>
      <c r="AF102"/>
      <c r="AG102"/>
      <c r="AH102"/>
      <c r="AI102"/>
    </row>
    <row r="103" spans="2:35" ht="15">
      <c r="B103"/>
      <c r="C103"/>
      <c r="D103"/>
      <c r="E103"/>
      <c r="F103"/>
      <c r="G103"/>
      <c r="H103"/>
      <c r="AE103"/>
      <c r="AF103"/>
      <c r="AG103"/>
      <c r="AH103"/>
      <c r="AI103"/>
    </row>
    <row r="104" spans="2:35" ht="15">
      <c r="B104"/>
      <c r="C104"/>
      <c r="D104"/>
      <c r="E104"/>
      <c r="F104"/>
      <c r="G104"/>
      <c r="H104"/>
      <c r="AE104"/>
      <c r="AF104"/>
      <c r="AG104"/>
      <c r="AH104"/>
      <c r="AI104"/>
    </row>
    <row r="105" spans="2:35" ht="15">
      <c r="B105"/>
      <c r="C105"/>
      <c r="D105"/>
      <c r="E105"/>
      <c r="F105"/>
      <c r="G105"/>
      <c r="H105"/>
      <c r="AE105"/>
      <c r="AF105"/>
      <c r="AG105"/>
      <c r="AH105"/>
      <c r="AI105"/>
    </row>
    <row r="106" spans="2:35" ht="15">
      <c r="B106"/>
      <c r="C106"/>
      <c r="D106"/>
      <c r="E106"/>
      <c r="F106"/>
      <c r="G106"/>
      <c r="H106"/>
      <c r="AE106"/>
      <c r="AF106"/>
      <c r="AG106"/>
      <c r="AH106"/>
      <c r="AI106"/>
    </row>
    <row r="107" spans="2:35" ht="15">
      <c r="B107"/>
      <c r="C107"/>
      <c r="D107"/>
      <c r="E107"/>
      <c r="F107"/>
      <c r="G107"/>
      <c r="H107"/>
      <c r="AE107"/>
      <c r="AF107"/>
      <c r="AG107"/>
      <c r="AH107"/>
      <c r="AI107"/>
    </row>
    <row r="108" spans="2:35" ht="15">
      <c r="B108"/>
      <c r="C108"/>
      <c r="D108"/>
      <c r="E108"/>
      <c r="F108"/>
      <c r="G108"/>
      <c r="H108"/>
      <c r="AE108"/>
      <c r="AF108"/>
      <c r="AG108"/>
      <c r="AH108"/>
      <c r="AI108"/>
    </row>
    <row r="109" spans="2:35" ht="15">
      <c r="B109"/>
      <c r="C109"/>
      <c r="D109"/>
      <c r="E109"/>
      <c r="F109"/>
      <c r="G109"/>
      <c r="H109"/>
      <c r="AE109"/>
      <c r="AF109"/>
      <c r="AG109"/>
      <c r="AH109"/>
      <c r="AI109"/>
    </row>
    <row r="110" spans="2:35" ht="15">
      <c r="B110"/>
      <c r="C110"/>
      <c r="D110"/>
      <c r="E110"/>
      <c r="F110"/>
      <c r="G110"/>
      <c r="H110"/>
      <c r="AE110"/>
      <c r="AF110"/>
      <c r="AG110"/>
      <c r="AH110"/>
      <c r="AI110"/>
    </row>
    <row r="111" spans="2:35" ht="15">
      <c r="B111"/>
      <c r="C111"/>
      <c r="D111"/>
      <c r="E111"/>
      <c r="F111"/>
      <c r="G111"/>
      <c r="H111"/>
      <c r="AE111"/>
      <c r="AF111"/>
      <c r="AG111"/>
      <c r="AH111"/>
      <c r="AI111"/>
    </row>
    <row r="112" spans="2:35" ht="15">
      <c r="B112"/>
      <c r="C112"/>
      <c r="D112"/>
      <c r="E112"/>
      <c r="F112"/>
      <c r="G112"/>
      <c r="H112"/>
      <c r="AE112"/>
      <c r="AF112"/>
      <c r="AG112"/>
      <c r="AH112"/>
      <c r="AI112"/>
    </row>
    <row r="113" spans="2:35" ht="15">
      <c r="B113"/>
      <c r="C113"/>
      <c r="D113"/>
      <c r="E113"/>
      <c r="F113"/>
      <c r="G113"/>
      <c r="H113"/>
      <c r="AE113"/>
      <c r="AF113"/>
      <c r="AG113"/>
      <c r="AH113"/>
      <c r="AI113"/>
    </row>
    <row r="114" spans="2:35" ht="15">
      <c r="B114"/>
      <c r="C114"/>
      <c r="D114"/>
      <c r="E114"/>
      <c r="F114"/>
      <c r="G114"/>
      <c r="H114"/>
      <c r="AE114"/>
      <c r="AF114"/>
      <c r="AG114"/>
      <c r="AH114"/>
      <c r="AI114"/>
    </row>
    <row r="115" spans="2:35" ht="15">
      <c r="B115"/>
      <c r="C115"/>
      <c r="D115"/>
      <c r="E115"/>
      <c r="F115"/>
      <c r="G115"/>
      <c r="H115"/>
      <c r="AE115"/>
      <c r="AF115"/>
      <c r="AG115"/>
      <c r="AH115"/>
      <c r="AI115"/>
    </row>
    <row r="116" spans="2:35" ht="15">
      <c r="B116"/>
      <c r="C116"/>
      <c r="D116"/>
      <c r="E116"/>
      <c r="F116"/>
      <c r="G116"/>
      <c r="H116"/>
      <c r="AE116"/>
      <c r="AF116"/>
      <c r="AG116"/>
      <c r="AH116"/>
      <c r="AI116"/>
    </row>
    <row r="117" spans="2:35" ht="15">
      <c r="B117"/>
      <c r="C117"/>
      <c r="D117"/>
      <c r="E117"/>
      <c r="F117"/>
      <c r="G117"/>
      <c r="H117"/>
      <c r="AE117"/>
      <c r="AF117"/>
      <c r="AG117"/>
      <c r="AH117"/>
      <c r="AI117"/>
    </row>
    <row r="118" spans="2:35" ht="15">
      <c r="B118"/>
      <c r="C118"/>
      <c r="D118"/>
      <c r="E118"/>
      <c r="F118"/>
      <c r="G118"/>
      <c r="H118"/>
      <c r="AE118"/>
      <c r="AF118"/>
      <c r="AG118"/>
      <c r="AH118"/>
      <c r="AI118"/>
    </row>
    <row r="119" spans="2:35" ht="15">
      <c r="B119"/>
      <c r="C119"/>
      <c r="D119"/>
      <c r="E119"/>
      <c r="F119"/>
      <c r="G119"/>
      <c r="H119"/>
      <c r="AE119"/>
      <c r="AF119"/>
      <c r="AG119"/>
      <c r="AH119"/>
      <c r="AI119"/>
    </row>
    <row r="120" spans="2:35" ht="15">
      <c r="B120"/>
      <c r="C120"/>
      <c r="D120"/>
      <c r="E120"/>
      <c r="F120"/>
      <c r="G120"/>
      <c r="H120"/>
      <c r="AE120"/>
      <c r="AF120"/>
      <c r="AG120"/>
      <c r="AH120"/>
      <c r="AI120"/>
    </row>
    <row r="121" spans="2:35" ht="15">
      <c r="B121"/>
      <c r="C121"/>
      <c r="D121"/>
      <c r="E121"/>
      <c r="F121"/>
      <c r="G121"/>
      <c r="H121"/>
      <c r="AE121"/>
      <c r="AF121"/>
      <c r="AG121"/>
      <c r="AH121"/>
      <c r="AI121"/>
    </row>
    <row r="122" spans="2:35" ht="15">
      <c r="B122"/>
      <c r="C122"/>
      <c r="D122"/>
      <c r="E122"/>
      <c r="F122"/>
      <c r="G122"/>
      <c r="H122"/>
      <c r="AE122"/>
      <c r="AF122"/>
      <c r="AG122"/>
      <c r="AH122"/>
      <c r="AI122"/>
    </row>
    <row r="123" spans="2:35" ht="15">
      <c r="B123"/>
      <c r="C123"/>
      <c r="D123"/>
      <c r="E123"/>
      <c r="F123"/>
      <c r="G123"/>
      <c r="H123"/>
      <c r="AE123"/>
      <c r="AF123"/>
      <c r="AG123"/>
      <c r="AH123"/>
      <c r="AI123"/>
    </row>
    <row r="124" spans="2:35" ht="15">
      <c r="B124"/>
      <c r="C124"/>
      <c r="D124"/>
      <c r="E124"/>
      <c r="F124"/>
      <c r="G124"/>
      <c r="H124"/>
      <c r="AE124"/>
      <c r="AF124"/>
      <c r="AG124"/>
      <c r="AH124"/>
      <c r="AI124"/>
    </row>
    <row r="125" spans="2:35" ht="15">
      <c r="AE125"/>
      <c r="AF125"/>
      <c r="AG125"/>
      <c r="AH125"/>
      <c r="AI125"/>
    </row>
    <row r="126" spans="2:35" ht="15">
      <c r="AE126"/>
      <c r="AF126"/>
      <c r="AG126"/>
      <c r="AH126"/>
      <c r="AI126"/>
    </row>
    <row r="127" spans="2:35" ht="15">
      <c r="AE127"/>
      <c r="AF127"/>
      <c r="AG127"/>
      <c r="AH127"/>
      <c r="AI127"/>
    </row>
    <row r="128" spans="2:35" ht="15">
      <c r="AE128"/>
      <c r="AF128"/>
      <c r="AG128"/>
      <c r="AH128"/>
      <c r="AI128"/>
    </row>
    <row r="129" spans="31:35" ht="15">
      <c r="AE129"/>
      <c r="AF129"/>
      <c r="AG129"/>
      <c r="AH129"/>
      <c r="AI129"/>
    </row>
    <row r="130" spans="31:35" ht="15">
      <c r="AE130"/>
      <c r="AF130"/>
      <c r="AG130"/>
      <c r="AH130"/>
      <c r="AI130"/>
    </row>
    <row r="131" spans="31:35" ht="15">
      <c r="AE131"/>
      <c r="AF131"/>
      <c r="AG131"/>
      <c r="AH131"/>
      <c r="AI131"/>
    </row>
    <row r="132" spans="31:35" ht="15">
      <c r="AE132"/>
      <c r="AF132"/>
      <c r="AG132"/>
      <c r="AH132"/>
      <c r="AI132"/>
    </row>
    <row r="133" spans="31:35" ht="15">
      <c r="AE133"/>
      <c r="AF133"/>
      <c r="AG133"/>
      <c r="AH133"/>
      <c r="AI133"/>
    </row>
    <row r="134" spans="31:35" ht="15">
      <c r="AE134"/>
      <c r="AF134"/>
      <c r="AG134"/>
      <c r="AH134"/>
      <c r="AI134"/>
    </row>
    <row r="135" spans="31:35" ht="15">
      <c r="AE135"/>
      <c r="AF135"/>
      <c r="AG135"/>
      <c r="AH135"/>
      <c r="AI135"/>
    </row>
    <row r="136" spans="31:35" ht="15">
      <c r="AE136"/>
      <c r="AF136"/>
      <c r="AG136"/>
      <c r="AH136"/>
      <c r="AI136"/>
    </row>
    <row r="137" spans="31:35" ht="15">
      <c r="AE137"/>
      <c r="AF137"/>
      <c r="AG137"/>
      <c r="AH137"/>
      <c r="AI137"/>
    </row>
    <row r="138" spans="31:35" ht="15">
      <c r="AE138"/>
      <c r="AF138"/>
      <c r="AG138"/>
      <c r="AH138"/>
      <c r="AI138"/>
    </row>
    <row r="139" spans="31:35" ht="15">
      <c r="AE139"/>
      <c r="AF139"/>
      <c r="AG139"/>
      <c r="AH139"/>
      <c r="AI139"/>
    </row>
    <row r="140" spans="31:35" ht="15">
      <c r="AE140"/>
      <c r="AF140"/>
      <c r="AG140"/>
      <c r="AH140"/>
      <c r="AI140"/>
    </row>
    <row r="141" spans="31:35" ht="15">
      <c r="AE141"/>
      <c r="AF141"/>
      <c r="AG141"/>
      <c r="AH141"/>
      <c r="AI141"/>
    </row>
    <row r="142" spans="31:35" ht="15">
      <c r="AE142"/>
      <c r="AF142"/>
      <c r="AG142"/>
      <c r="AH142"/>
      <c r="AI142"/>
    </row>
  </sheetData>
  <mergeCells count="7">
    <mergeCell ref="B27:C27"/>
    <mergeCell ref="AB1:AC1"/>
    <mergeCell ref="B13:C13"/>
    <mergeCell ref="B17:C17"/>
    <mergeCell ref="B21:C21"/>
    <mergeCell ref="B25:C25"/>
    <mergeCell ref="B7:C7"/>
  </mergeCells>
  <dataValidations count="6">
    <dataValidation type="list" allowBlank="1" showInputMessage="1" showErrorMessage="1" sqref="B25:C25">
      <formula1>lst_SolCol</formula1>
    </dataValidation>
    <dataValidation type="list" allowBlank="1" showInputMessage="1" showErrorMessage="1" sqref="B21:C21">
      <formula1>lst_Boilers</formula1>
    </dataValidation>
    <dataValidation type="list" allowBlank="1" showInputMessage="1" showErrorMessage="1" sqref="B17:C17">
      <formula1>lst_Ctrl</formula1>
    </dataValidation>
    <dataValidation type="list" allowBlank="1" showInputMessage="1" showErrorMessage="1" sqref="B27:C27">
      <formula1>lst_HWST</formula1>
    </dataValidation>
    <dataValidation type="list" allowBlank="1" showInputMessage="1" showErrorMessage="1" sqref="B13:C13">
      <formula1>lst_HeatPump</formula1>
    </dataValidation>
    <dataValidation type="list" allowBlank="1" showInputMessage="1" showErrorMessage="1" sqref="C22">
      <formula1>YesNo</formula1>
    </dataValidation>
  </dataValidations>
  <hyperlinks>
    <hyperlink ref="B1" location="Index!A1" display="Back to index"/>
  </hyperlinks>
  <pageMargins left="0.75" right="0.75" top="1" bottom="1" header="0.5" footer="0.5"/>
  <pageSetup paperSize="9" scale="83" orientation="portrait" horizontalDpi="0" verticalDpi="0"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AI141"/>
  <sheetViews>
    <sheetView showGridLines="0" zoomScaleNormal="100" workbookViewId="0"/>
  </sheetViews>
  <sheetFormatPr defaultRowHeight="12.75"/>
  <cols>
    <col min="1" max="1" width="2" style="2" customWidth="1"/>
    <col min="2" max="2" width="28.42578125" style="2" customWidth="1"/>
    <col min="3" max="3" width="7.85546875" style="2" customWidth="1"/>
    <col min="4" max="4" width="6" style="2" customWidth="1"/>
    <col min="5" max="7" width="9.140625" style="2"/>
    <col min="8" max="8" width="10.7109375" style="2" bestFit="1" customWidth="1"/>
    <col min="9" max="9" width="3" style="2" bestFit="1" customWidth="1"/>
    <col min="10" max="10" width="3" style="2" customWidth="1"/>
    <col min="11" max="11" width="2.85546875" style="2" customWidth="1"/>
    <col min="12" max="12" width="9.140625" style="2"/>
    <col min="13" max="13" width="1.85546875" style="2" bestFit="1" customWidth="1"/>
    <col min="14" max="14" width="9.140625" style="2"/>
    <col min="15" max="15" width="2.140625" style="2" bestFit="1" customWidth="1"/>
    <col min="16" max="16" width="9.140625" style="2"/>
    <col min="17" max="17" width="1.85546875" style="2" bestFit="1" customWidth="1"/>
    <col min="18" max="18" width="9.140625" style="2"/>
    <col min="19" max="19" width="2.85546875" style="2" bestFit="1" customWidth="1"/>
    <col min="20" max="20" width="9.42578125" style="2" bestFit="1" customWidth="1"/>
    <col min="21" max="21" width="2.85546875" style="2" customWidth="1"/>
    <col min="22" max="22" width="9.140625" style="2"/>
    <col min="23" max="23" width="2.85546875" style="4" bestFit="1" customWidth="1"/>
    <col min="24" max="24" width="9.140625" style="2"/>
    <col min="25" max="25" width="2.85546875" style="4" bestFit="1" customWidth="1"/>
    <col min="26" max="26" width="9.140625" style="2"/>
    <col min="27" max="27" width="3.140625" style="4" customWidth="1"/>
    <col min="28" max="28" width="9.140625" style="5"/>
    <col min="29" max="29" width="4.7109375" style="4" customWidth="1"/>
    <col min="30" max="30" width="3.5703125" style="2" customWidth="1"/>
    <col min="31" max="31" width="48.5703125" style="3" bestFit="1" customWidth="1"/>
    <col min="32" max="32" width="9.140625" style="3"/>
    <col min="33" max="16384" width="9.140625" style="2"/>
  </cols>
  <sheetData>
    <row r="1" spans="2:34" ht="15">
      <c r="B1" s="225" t="s">
        <v>312</v>
      </c>
      <c r="C1" s="3"/>
      <c r="J1" s="3" t="s">
        <v>13</v>
      </c>
      <c r="M1" s="3" t="s">
        <v>151</v>
      </c>
      <c r="N1" s="3"/>
      <c r="O1" s="3"/>
      <c r="P1" s="3"/>
      <c r="U1" s="4"/>
      <c r="AB1" s="371">
        <v>41409</v>
      </c>
      <c r="AC1" s="372"/>
      <c r="AE1" s="2"/>
      <c r="AF1" s="2"/>
    </row>
    <row r="2" spans="2:34">
      <c r="B2" s="3"/>
      <c r="C2" s="3"/>
      <c r="J2" s="3" t="s">
        <v>15</v>
      </c>
      <c r="M2" s="3" t="s">
        <v>309</v>
      </c>
      <c r="N2" s="3"/>
      <c r="O2" s="3"/>
      <c r="P2" s="3"/>
      <c r="U2" s="4"/>
      <c r="AC2" s="6" t="s">
        <v>17</v>
      </c>
      <c r="AE2" s="2"/>
      <c r="AF2" s="2"/>
    </row>
    <row r="3" spans="2:34">
      <c r="B3" s="3"/>
      <c r="C3" s="3"/>
      <c r="J3" s="3" t="s">
        <v>18</v>
      </c>
      <c r="M3" s="3" t="s">
        <v>153</v>
      </c>
      <c r="N3" s="3"/>
      <c r="O3" s="3"/>
      <c r="P3" s="3"/>
      <c r="U3" s="4"/>
      <c r="AC3" s="7" t="s">
        <v>20</v>
      </c>
      <c r="AE3" s="2"/>
      <c r="AF3" s="2"/>
    </row>
    <row r="4" spans="2:34">
      <c r="B4" s="8" t="s">
        <v>21</v>
      </c>
      <c r="C4" s="9"/>
      <c r="D4" s="10"/>
      <c r="J4" s="9" t="s">
        <v>22</v>
      </c>
      <c r="K4" s="10"/>
      <c r="L4" s="10"/>
      <c r="M4" s="9" t="s">
        <v>310</v>
      </c>
      <c r="N4" s="10"/>
      <c r="O4" s="10"/>
      <c r="P4" s="10"/>
      <c r="Q4" s="10"/>
      <c r="R4" s="10"/>
      <c r="S4" s="10"/>
      <c r="T4" s="10"/>
      <c r="U4" s="11"/>
      <c r="V4" s="10"/>
      <c r="W4" s="11"/>
      <c r="X4" s="10"/>
      <c r="Y4" s="11"/>
      <c r="Z4" s="10"/>
      <c r="AA4" s="11"/>
      <c r="AB4" s="12"/>
      <c r="AC4" s="13" t="s">
        <v>490</v>
      </c>
      <c r="AE4" s="14" t="s">
        <v>25</v>
      </c>
      <c r="AF4" s="14"/>
      <c r="AG4" s="14"/>
      <c r="AH4" s="14"/>
    </row>
    <row r="6" spans="2:34">
      <c r="J6" s="3"/>
      <c r="K6" s="3"/>
      <c r="L6" s="3"/>
      <c r="M6" s="3"/>
      <c r="N6" s="3"/>
      <c r="O6" s="3"/>
      <c r="P6" s="3"/>
      <c r="Q6" s="3"/>
      <c r="R6" s="3"/>
      <c r="S6" s="3"/>
      <c r="T6" s="3"/>
      <c r="U6" s="3"/>
      <c r="V6" s="3"/>
      <c r="W6" s="3"/>
      <c r="X6" s="3"/>
      <c r="Y6" s="3"/>
      <c r="Z6" s="3"/>
      <c r="AA6" s="3"/>
      <c r="AB6" s="3"/>
      <c r="AC6" s="3"/>
      <c r="AE6" s="3" t="s">
        <v>442</v>
      </c>
      <c r="AG6" s="3"/>
      <c r="AH6" s="3"/>
    </row>
    <row r="7" spans="2:34">
      <c r="B7" s="384" t="s">
        <v>438</v>
      </c>
      <c r="C7" s="385"/>
      <c r="D7" s="97"/>
      <c r="E7" s="15" t="s">
        <v>440</v>
      </c>
      <c r="F7" s="16"/>
      <c r="G7" s="16"/>
      <c r="H7" s="17"/>
      <c r="I7" s="97"/>
      <c r="J7" s="3"/>
      <c r="K7" s="3"/>
      <c r="L7" s="3"/>
      <c r="M7" s="3"/>
      <c r="N7" s="3"/>
      <c r="O7" s="3"/>
      <c r="P7" s="3"/>
      <c r="Q7" s="3"/>
      <c r="R7" s="3"/>
      <c r="S7" s="3"/>
      <c r="T7" s="3"/>
      <c r="U7" s="3"/>
      <c r="V7" s="3"/>
      <c r="W7" s="3"/>
      <c r="X7" s="3"/>
      <c r="Y7" s="3"/>
      <c r="Z7" s="3"/>
      <c r="AA7" s="3"/>
      <c r="AB7" s="3"/>
      <c r="AC7" s="3"/>
      <c r="AE7" s="3" t="s">
        <v>443</v>
      </c>
      <c r="AG7" s="3"/>
      <c r="AH7" s="3"/>
    </row>
    <row r="8" spans="2:34">
      <c r="B8" s="350" t="s">
        <v>439</v>
      </c>
      <c r="C8" s="351"/>
      <c r="D8" s="18"/>
      <c r="E8" s="299" t="s">
        <v>441</v>
      </c>
      <c r="F8" s="18"/>
      <c r="G8" s="18"/>
      <c r="H8" s="19"/>
      <c r="I8" s="97"/>
      <c r="J8" s="3"/>
      <c r="K8" s="3"/>
      <c r="L8" s="3"/>
      <c r="M8" s="3"/>
      <c r="N8" s="3"/>
      <c r="O8" s="3"/>
      <c r="P8" s="3"/>
      <c r="Q8" s="3"/>
      <c r="R8" s="3"/>
      <c r="S8" s="3"/>
      <c r="T8" s="3"/>
      <c r="U8" s="3"/>
      <c r="V8" s="3"/>
      <c r="W8" s="3"/>
      <c r="X8" s="3"/>
      <c r="Y8" s="3"/>
      <c r="Z8" s="3"/>
      <c r="AA8" s="3"/>
      <c r="AB8" s="3"/>
      <c r="AC8" s="3"/>
      <c r="AG8" s="3"/>
      <c r="AH8" s="3"/>
    </row>
    <row r="9" spans="2:34">
      <c r="J9" s="3"/>
      <c r="K9" s="3"/>
      <c r="L9" s="3"/>
      <c r="M9" s="3"/>
      <c r="N9" s="3"/>
      <c r="O9" s="3"/>
      <c r="P9" s="3"/>
      <c r="Q9" s="3"/>
      <c r="R9" s="3"/>
      <c r="S9" s="3"/>
      <c r="T9" s="3"/>
      <c r="U9" s="3"/>
      <c r="V9" s="3"/>
      <c r="W9" s="3"/>
      <c r="X9" s="3"/>
      <c r="Y9" s="3"/>
      <c r="Z9" s="3"/>
      <c r="AA9" s="3"/>
      <c r="AB9" s="3"/>
      <c r="AC9" s="3"/>
      <c r="AE9" s="352" t="s">
        <v>431</v>
      </c>
      <c r="AG9" s="3"/>
      <c r="AH9" s="3"/>
    </row>
    <row r="10" spans="2:34">
      <c r="B10" s="3"/>
      <c r="C10" s="3"/>
      <c r="D10" s="3"/>
      <c r="E10" s="3"/>
      <c r="F10" s="3"/>
      <c r="G10" s="3"/>
      <c r="H10" s="3"/>
      <c r="J10" s="3"/>
      <c r="K10" s="3"/>
      <c r="L10" s="3"/>
      <c r="M10" s="3"/>
      <c r="N10" s="3"/>
      <c r="O10" s="3"/>
      <c r="P10" s="3"/>
      <c r="Q10" s="3"/>
      <c r="R10" s="3"/>
      <c r="S10" s="3"/>
      <c r="T10" s="3"/>
      <c r="U10" s="3"/>
      <c r="V10" s="3"/>
      <c r="W10" s="3"/>
      <c r="X10" s="3"/>
      <c r="Y10" s="3"/>
      <c r="Z10" s="3"/>
      <c r="AA10" s="3"/>
      <c r="AB10" s="3"/>
      <c r="AC10" s="3"/>
      <c r="AE10" s="20" t="s">
        <v>27</v>
      </c>
      <c r="AG10" s="21"/>
      <c r="AH10" s="3"/>
    </row>
    <row r="11" spans="2:34" ht="13.5" thickBot="1">
      <c r="D11" s="30"/>
      <c r="E11" s="30"/>
      <c r="F11" s="30"/>
      <c r="G11" s="30"/>
      <c r="H11" s="30"/>
      <c r="K11" s="102"/>
      <c r="L11" s="102"/>
      <c r="N11" s="103"/>
      <c r="AE11" s="20" t="s">
        <v>28</v>
      </c>
      <c r="AG11" s="22"/>
      <c r="AH11" s="3" t="s">
        <v>29</v>
      </c>
    </row>
    <row r="12" spans="2:34" ht="15.75">
      <c r="B12" s="29" t="s">
        <v>303</v>
      </c>
      <c r="C12" s="30"/>
      <c r="D12" s="105"/>
      <c r="E12" s="65" t="s">
        <v>156</v>
      </c>
      <c r="F12" s="31" t="s">
        <v>157</v>
      </c>
      <c r="G12" s="31" t="s">
        <v>304</v>
      </c>
      <c r="H12" s="31" t="s">
        <v>305</v>
      </c>
      <c r="J12" s="106"/>
      <c r="K12" s="107"/>
      <c r="L12" s="107"/>
      <c r="M12" s="107"/>
      <c r="N12" s="107"/>
      <c r="O12" s="107"/>
      <c r="P12" s="107"/>
      <c r="Q12" s="107"/>
      <c r="R12" s="107"/>
      <c r="S12" s="107"/>
      <c r="T12" s="107"/>
      <c r="U12" s="107"/>
      <c r="V12" s="107"/>
      <c r="W12" s="108"/>
      <c r="X12" s="107"/>
      <c r="Y12" s="108"/>
      <c r="Z12" s="107"/>
      <c r="AA12" s="108"/>
      <c r="AB12" s="109" t="s">
        <v>33</v>
      </c>
      <c r="AC12" s="110"/>
      <c r="AE12" s="26" t="s">
        <v>30</v>
      </c>
      <c r="AF12" s="27"/>
      <c r="AG12" s="28"/>
      <c r="AH12" s="3" t="s">
        <v>29</v>
      </c>
    </row>
    <row r="13" spans="2:34">
      <c r="B13" s="380" t="s">
        <v>250</v>
      </c>
      <c r="C13" s="381"/>
      <c r="D13" s="111"/>
      <c r="E13" s="39">
        <f>VLOOKUP(B13,dbf_HeatPump,2,FALSE)</f>
        <v>10</v>
      </c>
      <c r="F13" s="39">
        <f>VLOOKUP(B13,dbf_HeatPump,3,FALSE)</f>
        <v>140</v>
      </c>
      <c r="G13" s="39">
        <f>VLOOKUP(B13,dbf_HeatPump,4,FALSE)</f>
        <v>5</v>
      </c>
      <c r="H13" s="39">
        <f>VLOOKUP(B13,dbf_HeatPump,5,FALSE)</f>
        <v>5</v>
      </c>
      <c r="I13" s="40" t="s">
        <v>36</v>
      </c>
      <c r="J13" s="114"/>
      <c r="K13" s="50" t="s">
        <v>488</v>
      </c>
      <c r="L13" s="50"/>
      <c r="M13" s="50"/>
      <c r="N13" s="50"/>
      <c r="O13" s="50"/>
      <c r="P13" s="50"/>
      <c r="Q13" s="50"/>
      <c r="R13" s="50"/>
      <c r="S13" s="50"/>
      <c r="T13" s="50"/>
      <c r="U13" s="50"/>
      <c r="V13" s="50"/>
      <c r="W13" s="98"/>
      <c r="X13" s="50"/>
      <c r="Y13" s="98"/>
      <c r="Z13" s="50"/>
      <c r="AA13" s="117" t="s">
        <v>38</v>
      </c>
      <c r="AB13" s="118">
        <f>F13</f>
        <v>140</v>
      </c>
      <c r="AC13" s="119" t="s">
        <v>39</v>
      </c>
      <c r="AE13" s="26" t="s">
        <v>34</v>
      </c>
      <c r="AF13" s="27"/>
      <c r="AG13" s="36"/>
      <c r="AH13" s="3" t="s">
        <v>29</v>
      </c>
    </row>
    <row r="14" spans="2:34" ht="15">
      <c r="B14"/>
      <c r="C14"/>
      <c r="D14" s="55"/>
      <c r="E14" s="55"/>
      <c r="F14" s="30"/>
      <c r="G14" s="30"/>
      <c r="H14" s="30"/>
      <c r="I14" s="120"/>
      <c r="J14" s="114"/>
      <c r="K14" s="121"/>
      <c r="L14" s="121"/>
      <c r="M14" s="121"/>
      <c r="N14" s="121"/>
      <c r="O14" s="121"/>
      <c r="P14" s="121"/>
      <c r="Q14" s="121"/>
      <c r="R14" s="121"/>
      <c r="S14" s="121"/>
      <c r="T14" s="121"/>
      <c r="U14" s="121"/>
      <c r="V14" s="121"/>
      <c r="W14" s="122"/>
      <c r="X14" s="121"/>
      <c r="Y14" s="122"/>
      <c r="Z14" s="121"/>
      <c r="AA14" s="123"/>
      <c r="AB14" s="124"/>
      <c r="AC14" s="119"/>
      <c r="AE14" s="20" t="s">
        <v>40</v>
      </c>
      <c r="AF14" s="27"/>
      <c r="AG14" s="44"/>
      <c r="AH14" s="3" t="s">
        <v>29</v>
      </c>
    </row>
    <row r="15" spans="2:34">
      <c r="B15" s="3"/>
      <c r="C15" s="3"/>
      <c r="I15" s="125"/>
      <c r="J15" s="114"/>
      <c r="K15" s="50"/>
      <c r="L15" s="50"/>
      <c r="M15" s="50"/>
      <c r="N15" s="50"/>
      <c r="O15" s="50"/>
      <c r="P15" s="50"/>
      <c r="Q15" s="50"/>
      <c r="R15" s="50"/>
      <c r="S15" s="50"/>
      <c r="T15" s="50"/>
      <c r="U15" s="50"/>
      <c r="V15" s="50"/>
      <c r="W15" s="50"/>
      <c r="X15" s="50"/>
      <c r="Y15" s="50"/>
      <c r="Z15" s="50"/>
      <c r="AA15" s="50"/>
      <c r="AB15" s="50"/>
      <c r="AC15" s="138"/>
    </row>
    <row r="16" spans="2:34">
      <c r="B16" s="54" t="s">
        <v>311</v>
      </c>
      <c r="C16" s="55"/>
      <c r="D16" s="55"/>
      <c r="E16" s="55"/>
      <c r="F16" s="55"/>
      <c r="G16" s="55"/>
      <c r="H16" s="3"/>
      <c r="I16" s="120"/>
      <c r="J16" s="114"/>
      <c r="K16" s="50"/>
      <c r="L16" s="50"/>
      <c r="M16" s="50"/>
      <c r="N16" s="50"/>
      <c r="O16" s="50"/>
      <c r="P16" s="50"/>
      <c r="Q16" s="50"/>
      <c r="R16" s="50"/>
      <c r="S16" s="50"/>
      <c r="T16" s="50"/>
      <c r="U16" s="50"/>
      <c r="V16" s="50"/>
      <c r="W16" s="98"/>
      <c r="X16" s="50"/>
      <c r="Y16" s="98"/>
      <c r="Z16" s="50"/>
      <c r="AA16" s="98"/>
      <c r="AB16" s="126" t="s">
        <v>50</v>
      </c>
      <c r="AC16" s="119"/>
    </row>
    <row r="17" spans="2:32" s="50" customFormat="1">
      <c r="B17" s="380" t="s">
        <v>243</v>
      </c>
      <c r="C17" s="381"/>
      <c r="D17" s="111"/>
      <c r="E17" s="37"/>
      <c r="F17" s="37"/>
      <c r="G17" s="37"/>
      <c r="H17" s="39" t="str">
        <f>VLOOKUP(B17,dbf_Ctrl,2,FALSE)</f>
        <v>VII</v>
      </c>
      <c r="I17" s="40" t="s">
        <v>36</v>
      </c>
      <c r="J17" s="114"/>
      <c r="K17" s="50" t="s">
        <v>162</v>
      </c>
      <c r="W17" s="98"/>
      <c r="Y17" s="128" t="s">
        <v>163</v>
      </c>
      <c r="Z17" s="218"/>
      <c r="AA17" s="117"/>
      <c r="AB17" s="130">
        <f>VLOOKUP(B17,dbf_Ctrl,3,FALSE)</f>
        <v>3.5</v>
      </c>
      <c r="AC17" s="119" t="s">
        <v>39</v>
      </c>
      <c r="AE17" s="49"/>
      <c r="AF17" s="3"/>
    </row>
    <row r="18" spans="2:32">
      <c r="B18" s="55"/>
      <c r="C18" s="55"/>
      <c r="D18" s="55"/>
      <c r="E18" s="55"/>
      <c r="F18" s="55"/>
      <c r="G18" s="55"/>
      <c r="H18" s="3"/>
      <c r="I18" s="131"/>
      <c r="J18" s="114"/>
      <c r="K18" s="121"/>
      <c r="L18" s="121"/>
      <c r="M18" s="121"/>
      <c r="N18" s="121"/>
      <c r="O18" s="121"/>
      <c r="P18" s="121"/>
      <c r="Q18" s="121"/>
      <c r="R18" s="121"/>
      <c r="S18" s="121"/>
      <c r="T18" s="121"/>
      <c r="U18" s="121"/>
      <c r="V18" s="121"/>
      <c r="W18" s="122"/>
      <c r="X18" s="121"/>
      <c r="Y18" s="122"/>
      <c r="Z18" s="219"/>
      <c r="AA18" s="122"/>
      <c r="AB18" s="124"/>
      <c r="AC18" s="119"/>
      <c r="AE18" s="2"/>
    </row>
    <row r="19" spans="2:32">
      <c r="B19" s="55"/>
      <c r="C19" s="55"/>
      <c r="D19" s="55"/>
      <c r="E19" s="55"/>
      <c r="F19" s="55"/>
      <c r="G19" s="55"/>
      <c r="H19" s="55"/>
      <c r="I19" s="120"/>
      <c r="J19" s="114"/>
      <c r="K19" s="50"/>
      <c r="L19" s="50"/>
      <c r="M19" s="50"/>
      <c r="N19" s="50"/>
      <c r="O19" s="50"/>
      <c r="P19" s="50"/>
      <c r="Q19" s="50"/>
      <c r="R19" s="50"/>
      <c r="S19" s="50"/>
      <c r="T19" s="50"/>
      <c r="U19" s="50"/>
      <c r="V19" s="50"/>
      <c r="W19" s="98"/>
      <c r="X19" s="50"/>
      <c r="Y19" s="98"/>
      <c r="Z19" s="50"/>
      <c r="AA19" s="98"/>
      <c r="AB19" s="99"/>
      <c r="AC19" s="119"/>
    </row>
    <row r="20" spans="2:32" ht="15.75">
      <c r="B20" s="29" t="s">
        <v>165</v>
      </c>
      <c r="C20" s="30"/>
      <c r="D20" s="55"/>
      <c r="E20" s="55"/>
      <c r="G20" s="65" t="s">
        <v>156</v>
      </c>
      <c r="H20" s="31" t="s">
        <v>166</v>
      </c>
      <c r="I20" s="120"/>
      <c r="J20" s="114"/>
      <c r="K20" s="50" t="s">
        <v>167</v>
      </c>
      <c r="L20" s="50"/>
      <c r="M20" s="50"/>
      <c r="N20" s="50"/>
      <c r="O20" s="50"/>
      <c r="P20" s="50"/>
      <c r="Q20" s="50"/>
      <c r="R20" s="50"/>
      <c r="S20" s="50"/>
      <c r="T20" s="50"/>
      <c r="U20" s="50"/>
      <c r="V20" s="128" t="s">
        <v>168</v>
      </c>
      <c r="W20" s="98"/>
      <c r="X20" s="132" t="s">
        <v>38</v>
      </c>
      <c r="Y20" s="98"/>
      <c r="Z20" s="132" t="s">
        <v>192</v>
      </c>
      <c r="AA20" s="98"/>
      <c r="AB20" s="126" t="s">
        <v>55</v>
      </c>
      <c r="AC20" s="119"/>
    </row>
    <row r="21" spans="2:32" s="50" customFormat="1">
      <c r="B21" s="380" t="s">
        <v>226</v>
      </c>
      <c r="C21" s="381"/>
      <c r="D21" s="111"/>
      <c r="E21" s="37"/>
      <c r="F21" s="37"/>
      <c r="G21" s="39">
        <f>VLOOKUP(B21,dbf_Boilers,2,FALSE)</f>
        <v>30</v>
      </c>
      <c r="H21" s="39">
        <f>VLOOKUP(B21,dbf_Boilers,3,FALSE)</f>
        <v>90</v>
      </c>
      <c r="I21" s="40" t="s">
        <v>36</v>
      </c>
      <c r="J21" s="114"/>
      <c r="K21" s="134" t="s">
        <v>170</v>
      </c>
      <c r="R21" s="96"/>
      <c r="U21" s="135" t="s">
        <v>51</v>
      </c>
      <c r="V21" s="136">
        <f>H21</f>
        <v>90</v>
      </c>
      <c r="W21" s="117" t="s">
        <v>52</v>
      </c>
      <c r="X21" s="118">
        <f>AB13</f>
        <v>140</v>
      </c>
      <c r="Y21" s="117" t="s">
        <v>53</v>
      </c>
      <c r="Z21" s="213">
        <f>E13/(E13+G21)*VLOOKUP(E13/(E13+G21),Tbl6_SH_Ext,IF(C22="Yes",6,4),TRUE)+VLOOKUP(E13/(E13+G21),Tbl6_SH_Ext,IF(C22="Yes",7,5),TRUE)</f>
        <v>0.35</v>
      </c>
      <c r="AA21" s="117" t="s">
        <v>54</v>
      </c>
      <c r="AB21" s="130">
        <f>IF(B21&lt;&gt;"None",(V21-X21)*Z21,0)</f>
        <v>-17.5</v>
      </c>
      <c r="AC21" s="119" t="s">
        <v>39</v>
      </c>
      <c r="AE21" s="3"/>
      <c r="AF21" s="3"/>
    </row>
    <row r="22" spans="2:32">
      <c r="B22" s="65" t="s">
        <v>194</v>
      </c>
      <c r="C22" s="144" t="s">
        <v>259</v>
      </c>
      <c r="D22" s="50"/>
      <c r="E22" s="55"/>
      <c r="F22" s="55"/>
      <c r="G22" s="55"/>
      <c r="H22" s="55"/>
      <c r="I22" s="131"/>
      <c r="J22" s="114"/>
      <c r="K22" s="121"/>
      <c r="L22" s="121"/>
      <c r="M22" s="121"/>
      <c r="N22" s="121"/>
      <c r="O22" s="121"/>
      <c r="P22" s="121"/>
      <c r="Q22" s="121"/>
      <c r="R22" s="121"/>
      <c r="S22" s="121"/>
      <c r="T22" s="121"/>
      <c r="U22" s="121"/>
      <c r="V22" s="121"/>
      <c r="W22" s="122"/>
      <c r="X22" s="121"/>
      <c r="Y22" s="122"/>
      <c r="Z22" s="121"/>
      <c r="AA22" s="122"/>
      <c r="AB22" s="124"/>
      <c r="AC22" s="119"/>
    </row>
    <row r="23" spans="2:32">
      <c r="B23" s="55"/>
      <c r="C23" s="55"/>
      <c r="D23" s="55"/>
      <c r="E23" s="55"/>
      <c r="F23" s="55"/>
      <c r="G23" s="55"/>
      <c r="H23" s="55"/>
      <c r="I23" s="120"/>
      <c r="J23" s="114"/>
      <c r="K23" s="50"/>
      <c r="L23" s="50"/>
      <c r="M23" s="50"/>
      <c r="N23" s="50"/>
      <c r="O23" s="50"/>
      <c r="P23" s="50"/>
      <c r="Q23" s="50"/>
      <c r="R23" s="50"/>
      <c r="S23" s="50"/>
      <c r="T23" s="50"/>
      <c r="U23" s="50"/>
      <c r="V23" s="50"/>
      <c r="W23" s="98"/>
      <c r="X23" s="50"/>
      <c r="Y23" s="98"/>
      <c r="Z23" s="50"/>
      <c r="AA23" s="98"/>
      <c r="AB23" s="99"/>
      <c r="AC23" s="119"/>
    </row>
    <row r="24" spans="2:32" ht="15.75">
      <c r="B24" s="54" t="s">
        <v>171</v>
      </c>
      <c r="C24" s="55"/>
      <c r="D24" s="55"/>
      <c r="G24" s="65" t="s">
        <v>172</v>
      </c>
      <c r="H24" s="65" t="s">
        <v>173</v>
      </c>
      <c r="I24" s="120"/>
      <c r="J24" s="114"/>
      <c r="K24" s="50" t="s">
        <v>175</v>
      </c>
      <c r="L24" s="50"/>
      <c r="M24" s="50"/>
      <c r="N24" s="50"/>
      <c r="O24" s="50"/>
      <c r="P24" s="50"/>
      <c r="Q24" s="50"/>
      <c r="R24" s="50"/>
      <c r="S24" s="50"/>
      <c r="T24" s="50"/>
      <c r="U24" s="50"/>
      <c r="V24" s="50"/>
      <c r="W24" s="98"/>
      <c r="X24" s="50"/>
      <c r="Y24" s="98"/>
      <c r="Z24" s="50"/>
      <c r="AA24" s="98"/>
      <c r="AB24" s="99"/>
      <c r="AC24" s="119"/>
    </row>
    <row r="25" spans="2:32" ht="15.75">
      <c r="B25" s="380" t="s">
        <v>269</v>
      </c>
      <c r="C25" s="381"/>
      <c r="D25" s="111"/>
      <c r="E25" s="38"/>
      <c r="F25" s="38"/>
      <c r="G25" s="39">
        <f>VLOOKUP(B25,dbf_SolCol,2,FALSE)</f>
        <v>15</v>
      </c>
      <c r="H25" s="39">
        <f>VLOOKUP(B25,dbf_SolCol,3,FALSE)</f>
        <v>70</v>
      </c>
      <c r="I25" s="40" t="s">
        <v>36</v>
      </c>
      <c r="J25" s="114"/>
      <c r="K25" s="50"/>
      <c r="L25" s="50"/>
      <c r="M25" s="50"/>
      <c r="N25" s="137" t="s">
        <v>179</v>
      </c>
      <c r="O25" s="137"/>
      <c r="P25" s="137" t="s">
        <v>180</v>
      </c>
      <c r="Q25" s="137"/>
      <c r="R25" s="137" t="s">
        <v>181</v>
      </c>
      <c r="S25" s="137"/>
      <c r="T25" s="137" t="s">
        <v>182</v>
      </c>
      <c r="U25" s="137"/>
      <c r="V25" s="137"/>
      <c r="W25" s="137"/>
      <c r="X25" s="137" t="s">
        <v>183</v>
      </c>
      <c r="Y25" s="98"/>
      <c r="Z25" s="137" t="s">
        <v>184</v>
      </c>
      <c r="AA25" s="98"/>
      <c r="AB25" s="126" t="s">
        <v>185</v>
      </c>
      <c r="AC25" s="138"/>
    </row>
    <row r="26" spans="2:32" ht="15.75">
      <c r="B26" s="54" t="s">
        <v>176</v>
      </c>
      <c r="C26" s="55"/>
      <c r="D26" s="224"/>
      <c r="E26" s="65"/>
      <c r="F26" s="65"/>
      <c r="G26" s="65" t="s">
        <v>177</v>
      </c>
      <c r="H26" s="65" t="s">
        <v>178</v>
      </c>
      <c r="I26" s="120"/>
      <c r="J26" s="114"/>
      <c r="K26" s="50"/>
      <c r="L26" s="50"/>
      <c r="M26" s="132" t="s">
        <v>51</v>
      </c>
      <c r="N26" s="139">
        <f>294/(11*E13)</f>
        <v>2.6727272727272728</v>
      </c>
      <c r="O26" s="140" t="s">
        <v>7</v>
      </c>
      <c r="P26" s="141">
        <f>G25</f>
        <v>15</v>
      </c>
      <c r="Q26" s="140" t="s">
        <v>115</v>
      </c>
      <c r="R26" s="139">
        <f>115/(11*E13)</f>
        <v>1.0454545454545454</v>
      </c>
      <c r="S26" s="142" t="s">
        <v>7</v>
      </c>
      <c r="T26" s="136">
        <f>G27</f>
        <v>0.5</v>
      </c>
      <c r="U26" s="142" t="s">
        <v>53</v>
      </c>
      <c r="V26" s="55">
        <v>0.45</v>
      </c>
      <c r="W26" s="142" t="s">
        <v>7</v>
      </c>
      <c r="X26" s="141">
        <f>H25/100</f>
        <v>0.7</v>
      </c>
      <c r="Y26" s="140" t="s">
        <v>7</v>
      </c>
      <c r="Z26" s="143">
        <f>VLOOKUP(H27,dbf_Tankrating,2,FALSE)</f>
        <v>0.83</v>
      </c>
      <c r="AA26" s="140" t="s">
        <v>54</v>
      </c>
      <c r="AB26" s="130">
        <f>IF(B25&lt;&gt;"None",(N26*P26+R26*T26)*V26*X26*Z26,0)</f>
        <v>10.618435227272727</v>
      </c>
      <c r="AC26" s="119" t="s">
        <v>39</v>
      </c>
      <c r="AD26" s="50"/>
    </row>
    <row r="27" spans="2:32">
      <c r="B27" s="380" t="s">
        <v>186</v>
      </c>
      <c r="C27" s="382"/>
      <c r="D27" s="37"/>
      <c r="E27" s="38"/>
      <c r="F27" s="38"/>
      <c r="G27" s="39">
        <f>VLOOKUP(B27,dbf_HWST,2,FALSE)/1000</f>
        <v>0.5</v>
      </c>
      <c r="H27" s="39" t="str">
        <f>VLOOKUP(B27,dbf_HWST,3,FALSE)</f>
        <v>C</v>
      </c>
      <c r="I27" s="40" t="s">
        <v>36</v>
      </c>
      <c r="J27" s="114"/>
      <c r="K27" s="50"/>
      <c r="L27" s="50"/>
      <c r="M27" s="132"/>
      <c r="N27" s="204"/>
      <c r="O27" s="140"/>
      <c r="P27" s="204"/>
      <c r="Q27" s="140"/>
      <c r="R27" s="204"/>
      <c r="S27" s="142"/>
      <c r="T27" s="55"/>
      <c r="U27" s="142"/>
      <c r="V27" s="55"/>
      <c r="W27" s="142"/>
      <c r="X27" s="204"/>
      <c r="Y27" s="140"/>
      <c r="Z27" s="55"/>
      <c r="AA27" s="140"/>
      <c r="AB27" s="3"/>
      <c r="AC27" s="119"/>
      <c r="AD27" s="50"/>
    </row>
    <row r="28" spans="2:32" ht="13.5" thickBot="1">
      <c r="J28" s="220"/>
      <c r="K28" s="121"/>
      <c r="L28" s="121"/>
      <c r="M28" s="121"/>
      <c r="N28" s="121"/>
      <c r="O28" s="145"/>
      <c r="P28" s="121"/>
      <c r="Q28" s="121"/>
      <c r="R28" s="168"/>
      <c r="S28" s="145"/>
      <c r="T28" s="121"/>
      <c r="U28" s="145"/>
      <c r="V28" s="121"/>
      <c r="W28" s="123"/>
      <c r="X28" s="121"/>
      <c r="Y28" s="122"/>
      <c r="Z28" s="121"/>
      <c r="AA28" s="123"/>
      <c r="AB28" s="147"/>
      <c r="AC28" s="148" t="s">
        <v>115</v>
      </c>
    </row>
    <row r="29" spans="2:32">
      <c r="B29" s="55"/>
      <c r="C29" s="55"/>
      <c r="D29" s="55"/>
      <c r="E29" s="55"/>
      <c r="F29" s="55"/>
      <c r="G29" s="55"/>
      <c r="I29" s="30"/>
      <c r="J29" s="220"/>
      <c r="K29" s="50"/>
      <c r="L29" s="50"/>
      <c r="M29" s="50"/>
      <c r="N29" s="50"/>
      <c r="O29" s="135"/>
      <c r="P29" s="50"/>
      <c r="Q29" s="50"/>
      <c r="R29" s="50"/>
      <c r="S29" s="135"/>
      <c r="T29" s="50"/>
      <c r="U29" s="135"/>
      <c r="V29" s="50"/>
      <c r="W29" s="117"/>
      <c r="X29" s="50"/>
      <c r="Y29" s="98"/>
      <c r="Z29" s="50"/>
      <c r="AA29" s="117"/>
      <c r="AB29" s="126" t="s">
        <v>193</v>
      </c>
      <c r="AC29" s="119"/>
    </row>
    <row r="30" spans="2:32" ht="15">
      <c r="B30" s="55"/>
      <c r="C30" s="55"/>
      <c r="D30" s="55"/>
      <c r="F30" s="55"/>
      <c r="G30"/>
      <c r="H30"/>
      <c r="I30"/>
      <c r="J30" s="220"/>
      <c r="K30" s="50" t="s">
        <v>477</v>
      </c>
      <c r="L30" s="50"/>
      <c r="M30" s="50"/>
      <c r="N30" s="50"/>
      <c r="O30" s="50"/>
      <c r="P30" s="50"/>
      <c r="Q30" s="50"/>
      <c r="R30" s="50"/>
      <c r="S30" s="50"/>
      <c r="T30" s="50"/>
      <c r="U30" s="50"/>
      <c r="V30" s="50"/>
      <c r="W30" s="98"/>
      <c r="X30" s="50"/>
      <c r="Y30" s="98"/>
      <c r="Z30" s="50"/>
      <c r="AA30" s="98"/>
      <c r="AB30" s="130">
        <f>SUM(AB13:AB26)</f>
        <v>136.61843522727273</v>
      </c>
      <c r="AC30" s="119" t="s">
        <v>39</v>
      </c>
    </row>
    <row r="31" spans="2:32">
      <c r="F31" s="55"/>
      <c r="G31" s="55"/>
      <c r="H31" s="55"/>
      <c r="I31" s="30"/>
      <c r="J31" s="220"/>
      <c r="K31" s="121"/>
      <c r="L31" s="121"/>
      <c r="M31" s="121"/>
      <c r="N31" s="121"/>
      <c r="O31" s="121"/>
      <c r="P31" s="121"/>
      <c r="Q31" s="121"/>
      <c r="R31" s="121"/>
      <c r="S31" s="121"/>
      <c r="T31" s="121"/>
      <c r="U31" s="121"/>
      <c r="V31" s="121"/>
      <c r="W31" s="122"/>
      <c r="X31" s="121"/>
      <c r="Y31" s="122"/>
      <c r="Z31" s="121"/>
      <c r="AA31" s="122"/>
      <c r="AB31" s="150"/>
      <c r="AC31" s="119"/>
    </row>
    <row r="32" spans="2:32" s="50" customFormat="1">
      <c r="B32" s="55"/>
      <c r="C32" s="55"/>
      <c r="D32" s="55"/>
      <c r="E32" s="2"/>
      <c r="F32" s="55"/>
      <c r="G32" s="55"/>
      <c r="H32" s="55"/>
      <c r="I32" s="30"/>
      <c r="J32" s="220"/>
      <c r="W32" s="98"/>
      <c r="Y32" s="98"/>
      <c r="AA32" s="98"/>
      <c r="AB32" s="151"/>
      <c r="AC32" s="152"/>
      <c r="AD32" s="2"/>
      <c r="AE32" s="3"/>
      <c r="AF32" s="3"/>
    </row>
    <row r="33" spans="2:35" s="50" customFormat="1">
      <c r="G33" s="55"/>
      <c r="J33" s="220"/>
      <c r="K33" s="50" t="s">
        <v>478</v>
      </c>
      <c r="W33" s="98"/>
      <c r="Y33" s="98"/>
      <c r="AA33" s="98"/>
      <c r="AB33" s="151"/>
      <c r="AC33" s="152"/>
      <c r="AD33" s="2"/>
      <c r="AE33" s="3"/>
      <c r="AF33" s="3"/>
    </row>
    <row r="34" spans="2:35">
      <c r="B34" s="50"/>
      <c r="C34" s="50"/>
      <c r="E34" s="50"/>
      <c r="F34" s="50"/>
      <c r="J34" s="220"/>
      <c r="K34" s="50"/>
      <c r="L34" s="50"/>
      <c r="M34" s="50"/>
      <c r="N34" s="50"/>
      <c r="O34" s="50"/>
      <c r="P34" s="50"/>
      <c r="Q34" s="50"/>
      <c r="R34" s="50"/>
      <c r="S34" s="50"/>
      <c r="T34" s="50"/>
      <c r="U34" s="50"/>
      <c r="V34" s="50"/>
      <c r="W34" s="98"/>
      <c r="X34" s="50"/>
      <c r="Y34" s="98"/>
      <c r="Z34" s="50"/>
      <c r="AA34" s="98"/>
      <c r="AB34" s="99"/>
      <c r="AC34" s="119"/>
    </row>
    <row r="35" spans="2:35" ht="15.75">
      <c r="G35" s="65" t="s">
        <v>58</v>
      </c>
      <c r="H35" s="68" t="str">
        <f>LOOKUP(AB30,tbl2_S,tbl12_R)</f>
        <v>A+</v>
      </c>
      <c r="I35" s="30" t="s">
        <v>56</v>
      </c>
      <c r="J35" s="220"/>
      <c r="K35" s="50"/>
      <c r="L35" s="153" t="str">
        <f>IF($H$35=L36,"▼","")</f>
        <v/>
      </c>
      <c r="M35" s="154"/>
      <c r="N35" s="153" t="str">
        <f>IF($H$35=N36,"▼","")</f>
        <v/>
      </c>
      <c r="O35" s="154"/>
      <c r="P35" s="153" t="str">
        <f>IF($H$35=P36,"▼","")</f>
        <v/>
      </c>
      <c r="Q35" s="154"/>
      <c r="R35" s="153" t="str">
        <f>IF($H$35=R36,"▼","")</f>
        <v/>
      </c>
      <c r="S35" s="154"/>
      <c r="T35" s="153" t="str">
        <f>IF($H$35=T36,"▼","")</f>
        <v/>
      </c>
      <c r="U35" s="154"/>
      <c r="V35" s="153" t="str">
        <f>IF($H$35=V36,"▼","")</f>
        <v/>
      </c>
      <c r="W35" s="154"/>
      <c r="X35" s="153" t="str">
        <f>IF($H$35=X36,"▼","")</f>
        <v>▼</v>
      </c>
      <c r="Y35" s="154"/>
      <c r="Z35" s="153" t="str">
        <f>IF($H$35=Z36,"▼","")</f>
        <v/>
      </c>
      <c r="AA35" s="154"/>
      <c r="AB35" s="216" t="str">
        <f>IF($H$35=AB36,"▼","")</f>
        <v/>
      </c>
      <c r="AC35" s="119"/>
    </row>
    <row r="36" spans="2:35">
      <c r="D36" s="3"/>
      <c r="J36" s="220"/>
      <c r="K36" s="50"/>
      <c r="L36" s="156" t="s">
        <v>60</v>
      </c>
      <c r="M36" s="157"/>
      <c r="N36" s="156" t="s">
        <v>61</v>
      </c>
      <c r="O36" s="157"/>
      <c r="P36" s="156" t="s">
        <v>62</v>
      </c>
      <c r="Q36" s="157"/>
      <c r="R36" s="156" t="s">
        <v>63</v>
      </c>
      <c r="S36" s="157"/>
      <c r="T36" s="156" t="s">
        <v>64</v>
      </c>
      <c r="U36" s="157"/>
      <c r="V36" s="156" t="s">
        <v>65</v>
      </c>
      <c r="W36" s="157"/>
      <c r="X36" s="156" t="s">
        <v>66</v>
      </c>
      <c r="Y36" s="157"/>
      <c r="Z36" s="156" t="s">
        <v>67</v>
      </c>
      <c r="AA36" s="157"/>
      <c r="AB36" s="158" t="s">
        <v>68</v>
      </c>
      <c r="AC36" s="119"/>
    </row>
    <row r="37" spans="2:35">
      <c r="D37" s="3"/>
      <c r="J37" s="114"/>
      <c r="K37" s="50"/>
      <c r="L37" s="159" t="s">
        <v>480</v>
      </c>
      <c r="M37" s="160"/>
      <c r="N37" s="159" t="s">
        <v>481</v>
      </c>
      <c r="O37" s="160"/>
      <c r="P37" s="159" t="s">
        <v>482</v>
      </c>
      <c r="Q37" s="160"/>
      <c r="R37" s="159" t="s">
        <v>483</v>
      </c>
      <c r="S37" s="160"/>
      <c r="T37" s="159" t="s">
        <v>484</v>
      </c>
      <c r="U37" s="160"/>
      <c r="V37" s="159" t="s">
        <v>485</v>
      </c>
      <c r="W37" s="160"/>
      <c r="X37" s="159" t="s">
        <v>486</v>
      </c>
      <c r="Y37" s="160"/>
      <c r="Z37" s="159" t="s">
        <v>211</v>
      </c>
      <c r="AA37" s="160"/>
      <c r="AB37" s="161" t="s">
        <v>487</v>
      </c>
      <c r="AC37" s="119"/>
    </row>
    <row r="38" spans="2:35">
      <c r="J38" s="114"/>
      <c r="K38" s="121"/>
      <c r="L38" s="121"/>
      <c r="M38" s="121"/>
      <c r="N38" s="121"/>
      <c r="O38" s="121"/>
      <c r="P38" s="121"/>
      <c r="Q38" s="121"/>
      <c r="R38" s="121"/>
      <c r="S38" s="121"/>
      <c r="T38" s="121"/>
      <c r="U38" s="121"/>
      <c r="V38" s="121"/>
      <c r="W38" s="122"/>
      <c r="X38" s="121"/>
      <c r="Y38" s="122"/>
      <c r="Z38" s="121"/>
      <c r="AA38" s="122"/>
      <c r="AB38" s="124"/>
      <c r="AC38" s="119"/>
    </row>
    <row r="39" spans="2:35">
      <c r="J39" s="114"/>
      <c r="K39" s="50"/>
      <c r="L39" s="50"/>
      <c r="M39" s="50"/>
      <c r="N39" s="50"/>
      <c r="O39" s="50"/>
      <c r="P39" s="50"/>
      <c r="Q39" s="50"/>
      <c r="R39" s="50"/>
      <c r="S39" s="50"/>
      <c r="T39" s="50"/>
      <c r="U39" s="50"/>
      <c r="V39" s="50"/>
      <c r="W39" s="98"/>
      <c r="X39" s="50"/>
      <c r="Y39" s="98"/>
      <c r="Z39" s="50"/>
      <c r="AA39" s="98"/>
      <c r="AB39" s="99"/>
      <c r="AC39" s="119"/>
      <c r="AD39" s="50"/>
    </row>
    <row r="40" spans="2:35">
      <c r="J40" s="114"/>
      <c r="K40" s="96" t="s">
        <v>307</v>
      </c>
      <c r="L40" s="96"/>
      <c r="M40" s="50"/>
      <c r="N40" s="50"/>
      <c r="O40" s="50"/>
      <c r="P40" s="50"/>
      <c r="Q40" s="50"/>
      <c r="R40" s="50"/>
      <c r="S40" s="50"/>
      <c r="T40" s="50"/>
      <c r="U40" s="50"/>
      <c r="V40" s="50"/>
      <c r="W40" s="98"/>
      <c r="X40" s="96"/>
      <c r="Y40" s="96"/>
      <c r="Z40" s="96"/>
      <c r="AA40" s="98"/>
      <c r="AB40" s="99"/>
      <c r="AC40" s="119"/>
    </row>
    <row r="41" spans="2:35">
      <c r="J41" s="114"/>
      <c r="K41" s="50"/>
      <c r="L41" s="50"/>
      <c r="M41" s="50"/>
      <c r="N41" s="146" t="s">
        <v>193</v>
      </c>
      <c r="O41" s="50"/>
      <c r="P41" s="117" t="s">
        <v>246</v>
      </c>
      <c r="Q41" s="50"/>
      <c r="R41" s="50"/>
      <c r="S41" s="50"/>
      <c r="T41" s="50"/>
      <c r="U41" s="50"/>
      <c r="V41" s="50"/>
      <c r="W41" s="137"/>
      <c r="X41" s="221" t="s">
        <v>193</v>
      </c>
      <c r="Y41" s="98"/>
      <c r="Z41" s="117" t="s">
        <v>247</v>
      </c>
      <c r="AA41" s="98"/>
      <c r="AB41" s="165"/>
      <c r="AC41" s="119"/>
    </row>
    <row r="42" spans="2:35">
      <c r="J42" s="114"/>
      <c r="K42" s="50"/>
      <c r="L42" s="134" t="s">
        <v>111</v>
      </c>
      <c r="M42" s="50"/>
      <c r="N42" s="167">
        <f>AB30</f>
        <v>136.61843522727273</v>
      </c>
      <c r="O42" s="135" t="s">
        <v>52</v>
      </c>
      <c r="P42" s="136">
        <f>G13</f>
        <v>5</v>
      </c>
      <c r="Q42" s="135" t="s">
        <v>54</v>
      </c>
      <c r="R42" s="130">
        <f>N42-P42</f>
        <v>131.61843522727273</v>
      </c>
      <c r="S42" s="50" t="s">
        <v>39</v>
      </c>
      <c r="T42" s="50"/>
      <c r="U42" s="50"/>
      <c r="V42" s="50" t="s">
        <v>308</v>
      </c>
      <c r="W42" s="135"/>
      <c r="X42" s="130">
        <f>AB30</f>
        <v>136.61843522727273</v>
      </c>
      <c r="Y42" s="117" t="s">
        <v>115</v>
      </c>
      <c r="Z42" s="136">
        <f>H13</f>
        <v>5</v>
      </c>
      <c r="AA42" s="117" t="s">
        <v>54</v>
      </c>
      <c r="AB42" s="130">
        <f>X42+Z42</f>
        <v>141.61843522727273</v>
      </c>
      <c r="AC42" s="119" t="s">
        <v>39</v>
      </c>
    </row>
    <row r="43" spans="2:35" ht="15">
      <c r="J43" s="114"/>
      <c r="K43" s="121"/>
      <c r="L43" s="121"/>
      <c r="M43" s="121"/>
      <c r="N43" s="121"/>
      <c r="O43" s="121"/>
      <c r="P43" s="121"/>
      <c r="Q43" s="121"/>
      <c r="R43" s="121"/>
      <c r="S43" s="168"/>
      <c r="T43" s="169"/>
      <c r="U43" s="170"/>
      <c r="V43" s="168"/>
      <c r="W43" s="171"/>
      <c r="X43" s="168"/>
      <c r="Y43" s="171"/>
      <c r="Z43" s="168"/>
      <c r="AA43" s="171"/>
      <c r="AB43" s="150"/>
      <c r="AC43" s="119"/>
      <c r="AD43" s="50"/>
      <c r="AE43"/>
      <c r="AF43"/>
      <c r="AG43"/>
      <c r="AH43"/>
      <c r="AI43"/>
    </row>
    <row r="44" spans="2:35" ht="15">
      <c r="J44" s="114"/>
      <c r="K44" s="50"/>
      <c r="L44" s="50"/>
      <c r="M44" s="50"/>
      <c r="N44" s="50"/>
      <c r="O44" s="50"/>
      <c r="P44" s="50"/>
      <c r="Q44" s="50"/>
      <c r="R44" s="50"/>
      <c r="S44" s="50"/>
      <c r="T44" s="50"/>
      <c r="U44" s="50"/>
      <c r="V44" s="50"/>
      <c r="W44" s="98"/>
      <c r="X44" s="50"/>
      <c r="Y44" s="98"/>
      <c r="Z44" s="50"/>
      <c r="AA44" s="98"/>
      <c r="AB44" s="99"/>
      <c r="AC44" s="119"/>
      <c r="AD44" s="50"/>
      <c r="AE44" t="s">
        <v>471</v>
      </c>
      <c r="AF44"/>
      <c r="AG44"/>
      <c r="AH44"/>
      <c r="AI44"/>
    </row>
    <row r="45" spans="2:35" ht="11.25" customHeight="1">
      <c r="J45" s="114"/>
      <c r="K45" s="50"/>
      <c r="L45" s="50"/>
      <c r="M45" s="50"/>
      <c r="N45" s="50"/>
      <c r="O45" s="50"/>
      <c r="P45" s="50"/>
      <c r="Q45" s="50"/>
      <c r="R45" s="50"/>
      <c r="S45" s="50"/>
      <c r="T45" s="50"/>
      <c r="U45" s="50"/>
      <c r="V45" s="50"/>
      <c r="W45" s="98"/>
      <c r="X45" s="50"/>
      <c r="Y45" s="98"/>
      <c r="Z45" s="50"/>
      <c r="AA45" s="98"/>
      <c r="AB45" s="99"/>
      <c r="AC45" s="119"/>
      <c r="AE45" s="369" t="s">
        <v>472</v>
      </c>
      <c r="AF45"/>
      <c r="AG45"/>
      <c r="AH45"/>
      <c r="AI45"/>
    </row>
    <row r="46" spans="2:35" ht="15">
      <c r="J46" s="114"/>
      <c r="K46" s="50"/>
      <c r="L46" s="50"/>
      <c r="M46" s="50"/>
      <c r="N46" s="50"/>
      <c r="O46" s="50"/>
      <c r="P46" s="50"/>
      <c r="Q46" s="50"/>
      <c r="R46" s="50"/>
      <c r="S46" s="50"/>
      <c r="T46" s="50"/>
      <c r="U46" s="50"/>
      <c r="V46" s="50"/>
      <c r="W46" s="98"/>
      <c r="X46" s="50"/>
      <c r="Y46" s="98"/>
      <c r="Z46" s="50"/>
      <c r="AA46" s="98"/>
      <c r="AB46" s="99"/>
      <c r="AC46" s="119"/>
      <c r="AE46" s="369" t="s">
        <v>475</v>
      </c>
      <c r="AF46"/>
      <c r="AG46"/>
      <c r="AH46"/>
      <c r="AI46"/>
    </row>
    <row r="47" spans="2:35" ht="15">
      <c r="J47" s="114"/>
      <c r="K47" s="50"/>
      <c r="L47" s="50"/>
      <c r="M47" s="50"/>
      <c r="N47" s="50"/>
      <c r="O47" s="50"/>
      <c r="P47" s="50"/>
      <c r="Q47" s="50"/>
      <c r="R47" s="50"/>
      <c r="S47" s="50"/>
      <c r="T47" s="50"/>
      <c r="U47" s="50"/>
      <c r="V47" s="50"/>
      <c r="W47" s="98"/>
      <c r="X47" s="50"/>
      <c r="Y47" s="98"/>
      <c r="Z47" s="50"/>
      <c r="AA47" s="98"/>
      <c r="AB47" s="99"/>
      <c r="AC47" s="119"/>
      <c r="AE47" s="369" t="s">
        <v>476</v>
      </c>
      <c r="AF47"/>
      <c r="AG47"/>
      <c r="AH47"/>
      <c r="AI47"/>
    </row>
    <row r="48" spans="2:35" ht="15.75" thickBot="1">
      <c r="B48"/>
      <c r="C48"/>
      <c r="D48"/>
      <c r="E48"/>
      <c r="F48"/>
      <c r="J48" s="179"/>
      <c r="K48" s="180"/>
      <c r="L48" s="180"/>
      <c r="M48" s="180"/>
      <c r="N48" s="180"/>
      <c r="O48" s="180"/>
      <c r="P48" s="180"/>
      <c r="Q48" s="180"/>
      <c r="R48" s="180"/>
      <c r="S48" s="180"/>
      <c r="T48" s="180"/>
      <c r="U48" s="180"/>
      <c r="V48" s="180"/>
      <c r="W48" s="222"/>
      <c r="X48" s="180"/>
      <c r="Y48" s="222"/>
      <c r="Z48" s="180"/>
      <c r="AA48" s="222"/>
      <c r="AB48" s="223"/>
      <c r="AC48" s="186"/>
      <c r="AE48" s="369" t="s">
        <v>479</v>
      </c>
      <c r="AF48"/>
      <c r="AG48"/>
      <c r="AH48"/>
      <c r="AI48"/>
    </row>
    <row r="49" spans="2:35" ht="15">
      <c r="B49"/>
      <c r="C49"/>
      <c r="D49"/>
      <c r="E49"/>
      <c r="F49"/>
      <c r="J49" s="50"/>
      <c r="K49" s="50"/>
      <c r="L49" s="50"/>
      <c r="M49" s="50"/>
      <c r="N49" s="50"/>
      <c r="O49" s="50"/>
      <c r="P49" s="50"/>
      <c r="Q49" s="50"/>
      <c r="R49" s="50"/>
      <c r="S49" s="50"/>
      <c r="T49" s="50"/>
      <c r="U49" s="50"/>
      <c r="V49" s="50"/>
      <c r="W49" s="98"/>
      <c r="X49" s="50"/>
      <c r="Y49" s="98"/>
      <c r="Z49" s="50"/>
      <c r="AA49" s="98"/>
      <c r="AB49" s="99"/>
      <c r="AC49" s="98"/>
      <c r="AE49" s="369" t="s">
        <v>492</v>
      </c>
      <c r="AF49"/>
      <c r="AG49"/>
      <c r="AH49"/>
      <c r="AI49"/>
    </row>
    <row r="50" spans="2:35" ht="15">
      <c r="B50"/>
      <c r="C50"/>
      <c r="D50"/>
      <c r="E50"/>
      <c r="F50"/>
      <c r="J50" s="50"/>
      <c r="K50" s="50"/>
      <c r="L50" s="50"/>
      <c r="M50" s="50"/>
      <c r="N50" s="50"/>
      <c r="O50" s="50"/>
      <c r="P50" s="50"/>
      <c r="Q50" s="50"/>
      <c r="R50" s="50"/>
      <c r="S50" s="50"/>
      <c r="T50" s="50"/>
      <c r="U50" s="50"/>
      <c r="V50" s="50"/>
      <c r="W50" s="98"/>
      <c r="X50" s="50"/>
      <c r="Y50" s="98"/>
      <c r="Z50" s="50"/>
      <c r="AA50" s="98"/>
      <c r="AB50" s="99"/>
      <c r="AC50" s="98"/>
      <c r="AE50" s="369" t="s">
        <v>491</v>
      </c>
      <c r="AF50"/>
      <c r="AG50"/>
      <c r="AH50"/>
      <c r="AI50"/>
    </row>
    <row r="51" spans="2:35" ht="15">
      <c r="B51"/>
      <c r="C51"/>
      <c r="D51"/>
      <c r="E51"/>
      <c r="F51"/>
      <c r="R51" s="50"/>
      <c r="S51" s="50"/>
      <c r="T51" s="50"/>
      <c r="U51" s="50"/>
      <c r="V51" s="50"/>
      <c r="W51" s="98"/>
      <c r="X51" s="50"/>
      <c r="Y51" s="98"/>
      <c r="Z51" s="50"/>
      <c r="AA51" s="98"/>
      <c r="AB51" s="99"/>
      <c r="AC51" s="98"/>
      <c r="AE51"/>
      <c r="AF51"/>
      <c r="AG51"/>
      <c r="AH51"/>
      <c r="AI51"/>
    </row>
    <row r="52" spans="2:35" ht="15">
      <c r="B52"/>
      <c r="C52"/>
      <c r="D52"/>
      <c r="E52"/>
      <c r="F52"/>
      <c r="R52" s="50"/>
      <c r="S52" s="55"/>
      <c r="T52" s="175"/>
      <c r="U52" s="142"/>
      <c r="V52" s="55"/>
      <c r="W52" s="140"/>
      <c r="X52" s="55"/>
      <c r="Y52" s="140"/>
      <c r="Z52" s="55"/>
      <c r="AA52" s="140"/>
      <c r="AB52" s="151"/>
      <c r="AC52" s="98"/>
      <c r="AE52"/>
      <c r="AF52"/>
      <c r="AG52"/>
      <c r="AH52"/>
      <c r="AI52"/>
    </row>
    <row r="53" spans="2:35" ht="15">
      <c r="D53" s="30"/>
      <c r="R53" s="50"/>
      <c r="S53" s="55"/>
      <c r="T53" s="175"/>
      <c r="U53" s="142"/>
      <c r="V53" s="55"/>
      <c r="W53" s="140"/>
      <c r="X53" s="55"/>
      <c r="Y53" s="140"/>
      <c r="Z53" s="55"/>
      <c r="AA53" s="140"/>
      <c r="AB53" s="151"/>
      <c r="AC53" s="98"/>
      <c r="AE53"/>
      <c r="AF53"/>
      <c r="AG53"/>
      <c r="AH53"/>
      <c r="AI53"/>
    </row>
    <row r="54" spans="2:35" ht="15">
      <c r="B54"/>
      <c r="C54"/>
      <c r="D54" s="30"/>
      <c r="R54" s="50"/>
      <c r="S54" s="55"/>
      <c r="T54" s="175"/>
      <c r="U54" s="142"/>
      <c r="V54" s="55"/>
      <c r="W54" s="140"/>
      <c r="X54" s="55"/>
      <c r="Y54" s="140"/>
      <c r="Z54" s="55"/>
      <c r="AA54" s="140"/>
      <c r="AB54" s="151"/>
      <c r="AC54" s="98"/>
      <c r="AE54"/>
      <c r="AF54"/>
      <c r="AG54"/>
      <c r="AH54"/>
      <c r="AI54"/>
    </row>
    <row r="55" spans="2:35" ht="15">
      <c r="B55"/>
      <c r="C55"/>
      <c r="D55" s="30"/>
      <c r="J55" s="50"/>
      <c r="K55" s="50"/>
      <c r="L55" s="50"/>
      <c r="M55" s="50"/>
      <c r="N55" s="50"/>
      <c r="O55" s="50"/>
      <c r="P55" s="50"/>
      <c r="Q55" s="50"/>
      <c r="R55" s="50"/>
      <c r="S55" s="55"/>
      <c r="T55" s="175"/>
      <c r="U55" s="142"/>
      <c r="V55" s="55"/>
      <c r="W55" s="140"/>
      <c r="X55" s="55"/>
      <c r="Y55" s="140"/>
      <c r="Z55" s="55"/>
      <c r="AA55" s="140"/>
      <c r="AB55" s="151"/>
      <c r="AC55" s="98"/>
      <c r="AD55" s="50"/>
      <c r="AE55"/>
      <c r="AF55"/>
      <c r="AG55"/>
      <c r="AH55"/>
      <c r="AI55"/>
    </row>
    <row r="56" spans="2:35" ht="15">
      <c r="B56"/>
      <c r="C56"/>
      <c r="D56" s="30"/>
      <c r="J56" s="50"/>
      <c r="K56" s="50"/>
      <c r="L56" s="50"/>
      <c r="M56" s="50"/>
      <c r="N56" s="50"/>
      <c r="O56" s="50"/>
      <c r="P56" s="50"/>
      <c r="Q56" s="50"/>
      <c r="R56" s="50"/>
      <c r="S56" s="55"/>
      <c r="T56" s="175"/>
      <c r="U56" s="142"/>
      <c r="V56" s="55"/>
      <c r="W56" s="140"/>
      <c r="X56" s="55"/>
      <c r="Y56" s="140"/>
      <c r="Z56" s="55"/>
      <c r="AA56" s="140"/>
      <c r="AB56" s="151"/>
      <c r="AC56" s="98"/>
      <c r="AD56" s="50"/>
      <c r="AE56"/>
      <c r="AF56"/>
      <c r="AG56"/>
      <c r="AH56"/>
      <c r="AI56"/>
    </row>
    <row r="57" spans="2:35" ht="15">
      <c r="B57"/>
      <c r="C57"/>
      <c r="D57" s="30"/>
      <c r="AE57"/>
      <c r="AF57"/>
      <c r="AG57"/>
      <c r="AH57"/>
      <c r="AI57"/>
    </row>
    <row r="58" spans="2:35" ht="15">
      <c r="B58"/>
      <c r="C58"/>
      <c r="D58" s="30"/>
      <c r="W58" s="2"/>
      <c r="Y58" s="2"/>
      <c r="AE58"/>
      <c r="AF58"/>
      <c r="AG58"/>
      <c r="AH58"/>
      <c r="AI58"/>
    </row>
    <row r="59" spans="2:35" ht="15">
      <c r="B59"/>
      <c r="C59"/>
      <c r="D59" s="30"/>
      <c r="W59" s="2"/>
      <c r="Y59" s="2"/>
      <c r="AE59"/>
      <c r="AF59"/>
      <c r="AG59"/>
      <c r="AH59"/>
      <c r="AI59"/>
    </row>
    <row r="60" spans="2:35" ht="15">
      <c r="B60"/>
      <c r="C60"/>
      <c r="D60" s="30"/>
      <c r="W60" s="2"/>
      <c r="Y60" s="2"/>
      <c r="AE60"/>
      <c r="AF60"/>
      <c r="AG60"/>
      <c r="AH60"/>
      <c r="AI60"/>
    </row>
    <row r="61" spans="2:35" ht="15">
      <c r="B61"/>
      <c r="C61"/>
      <c r="D61" s="30"/>
      <c r="W61" s="2"/>
      <c r="Y61" s="2"/>
      <c r="AE61"/>
      <c r="AF61"/>
      <c r="AG61"/>
      <c r="AH61"/>
      <c r="AI61"/>
    </row>
    <row r="62" spans="2:35" ht="15">
      <c r="B62"/>
      <c r="C62"/>
      <c r="D62" s="30"/>
      <c r="W62" s="2"/>
      <c r="Y62" s="2"/>
      <c r="AE62"/>
      <c r="AF62"/>
      <c r="AG62"/>
      <c r="AH62"/>
      <c r="AI62"/>
    </row>
    <row r="63" spans="2:35" ht="15">
      <c r="B63"/>
      <c r="C63"/>
      <c r="D63" s="30"/>
      <c r="W63" s="2"/>
      <c r="Y63" s="2"/>
      <c r="AE63"/>
      <c r="AF63"/>
      <c r="AG63"/>
      <c r="AH63"/>
      <c r="AI63"/>
    </row>
    <row r="64" spans="2:35" ht="15">
      <c r="B64"/>
      <c r="C64"/>
      <c r="D64" s="30"/>
      <c r="W64" s="2"/>
      <c r="Y64" s="2"/>
      <c r="AE64"/>
      <c r="AF64"/>
      <c r="AG64"/>
      <c r="AH64"/>
      <c r="AI64"/>
    </row>
    <row r="65" spans="2:35" ht="15">
      <c r="D65" s="30"/>
      <c r="W65" s="2"/>
      <c r="Y65" s="2"/>
      <c r="AE65"/>
      <c r="AF65"/>
      <c r="AG65"/>
      <c r="AH65"/>
      <c r="AI65"/>
    </row>
    <row r="66" spans="2:35" ht="15">
      <c r="D66" s="30"/>
      <c r="W66" s="2"/>
      <c r="Y66" s="2"/>
      <c r="AE66"/>
      <c r="AF66"/>
      <c r="AG66"/>
      <c r="AH66"/>
      <c r="AI66"/>
    </row>
    <row r="67" spans="2:35" ht="15">
      <c r="B67"/>
      <c r="C67"/>
      <c r="D67"/>
      <c r="E67"/>
      <c r="F67"/>
      <c r="G67"/>
      <c r="W67" s="2"/>
      <c r="Y67" s="2"/>
      <c r="AE67"/>
      <c r="AF67"/>
      <c r="AG67"/>
      <c r="AH67"/>
      <c r="AI67"/>
    </row>
    <row r="68" spans="2:35" ht="15">
      <c r="B68"/>
      <c r="C68"/>
      <c r="D68"/>
      <c r="E68"/>
      <c r="F68"/>
      <c r="G68"/>
      <c r="W68" s="2"/>
      <c r="Y68" s="2"/>
      <c r="AE68"/>
      <c r="AF68"/>
      <c r="AG68"/>
      <c r="AH68"/>
      <c r="AI68"/>
    </row>
    <row r="69" spans="2:35" ht="15">
      <c r="B69"/>
      <c r="C69"/>
      <c r="D69"/>
      <c r="E69"/>
      <c r="F69"/>
      <c r="G69"/>
      <c r="W69" s="2"/>
      <c r="Y69" s="2"/>
      <c r="AE69"/>
      <c r="AF69"/>
      <c r="AG69"/>
      <c r="AH69"/>
      <c r="AI69"/>
    </row>
    <row r="70" spans="2:35" ht="15">
      <c r="B70"/>
      <c r="C70"/>
      <c r="D70"/>
      <c r="E70"/>
      <c r="F70"/>
      <c r="G70"/>
      <c r="W70" s="2"/>
      <c r="Y70" s="2"/>
      <c r="AE70"/>
      <c r="AF70"/>
      <c r="AG70"/>
      <c r="AH70"/>
      <c r="AI70"/>
    </row>
    <row r="71" spans="2:35" ht="15">
      <c r="B71"/>
      <c r="C71"/>
      <c r="D71"/>
      <c r="E71"/>
      <c r="F71"/>
      <c r="G71"/>
      <c r="W71" s="2"/>
      <c r="Y71" s="2"/>
      <c r="AE71"/>
      <c r="AF71"/>
      <c r="AG71"/>
      <c r="AH71"/>
      <c r="AI71"/>
    </row>
    <row r="72" spans="2:35" ht="15">
      <c r="B72"/>
      <c r="C72"/>
      <c r="D72"/>
      <c r="E72"/>
      <c r="F72"/>
      <c r="G72"/>
      <c r="W72" s="2"/>
      <c r="Y72" s="2"/>
      <c r="AE72"/>
      <c r="AF72"/>
      <c r="AG72"/>
      <c r="AH72"/>
      <c r="AI72"/>
    </row>
    <row r="73" spans="2:35" ht="15">
      <c r="B73"/>
      <c r="C73"/>
      <c r="D73"/>
      <c r="E73"/>
      <c r="F73"/>
      <c r="G73"/>
      <c r="W73" s="2"/>
      <c r="Y73" s="2"/>
      <c r="AE73"/>
      <c r="AF73"/>
      <c r="AG73"/>
      <c r="AH73"/>
      <c r="AI73"/>
    </row>
    <row r="74" spans="2:35" ht="15">
      <c r="B74"/>
      <c r="C74"/>
      <c r="D74"/>
      <c r="E74"/>
      <c r="F74"/>
      <c r="G74"/>
      <c r="W74" s="2"/>
      <c r="Y74" s="2"/>
      <c r="AE74"/>
      <c r="AF74"/>
      <c r="AG74"/>
      <c r="AH74"/>
      <c r="AI74"/>
    </row>
    <row r="75" spans="2:35" ht="15">
      <c r="B75"/>
      <c r="C75"/>
      <c r="D75"/>
      <c r="E75"/>
      <c r="F75"/>
      <c r="G75"/>
      <c r="W75" s="2"/>
      <c r="Y75" s="2"/>
      <c r="AE75"/>
      <c r="AF75"/>
      <c r="AG75"/>
      <c r="AH75"/>
      <c r="AI75"/>
    </row>
    <row r="76" spans="2:35" ht="15">
      <c r="B76"/>
      <c r="C76"/>
      <c r="D76"/>
      <c r="E76"/>
      <c r="F76"/>
      <c r="G76"/>
      <c r="W76" s="2"/>
      <c r="Y76" s="2"/>
      <c r="AE76"/>
      <c r="AF76"/>
      <c r="AG76"/>
      <c r="AH76"/>
      <c r="AI76"/>
    </row>
    <row r="77" spans="2:35" ht="15">
      <c r="B77"/>
      <c r="C77"/>
      <c r="D77"/>
      <c r="E77"/>
      <c r="F77"/>
      <c r="G77"/>
      <c r="W77" s="2"/>
      <c r="Y77" s="2"/>
      <c r="AE77"/>
      <c r="AF77"/>
      <c r="AG77"/>
      <c r="AH77"/>
      <c r="AI77"/>
    </row>
    <row r="78" spans="2:35" ht="15">
      <c r="B78"/>
      <c r="C78"/>
      <c r="D78"/>
      <c r="E78"/>
      <c r="F78"/>
      <c r="G78"/>
      <c r="AE78"/>
      <c r="AF78"/>
      <c r="AG78"/>
      <c r="AH78"/>
      <c r="AI78"/>
    </row>
    <row r="79" spans="2:35" ht="15">
      <c r="B79"/>
      <c r="C79"/>
      <c r="D79"/>
      <c r="E79"/>
      <c r="AE79"/>
      <c r="AF79"/>
      <c r="AG79"/>
      <c r="AH79"/>
      <c r="AI79"/>
    </row>
    <row r="80" spans="2:35" ht="15">
      <c r="B80"/>
      <c r="C80"/>
      <c r="D80"/>
      <c r="E80"/>
      <c r="AE80"/>
      <c r="AF80"/>
      <c r="AG80"/>
      <c r="AH80"/>
      <c r="AI80"/>
    </row>
    <row r="81" spans="2:35" ht="15">
      <c r="B81"/>
      <c r="C81"/>
      <c r="D81"/>
      <c r="E81"/>
      <c r="AE81"/>
      <c r="AF81"/>
      <c r="AG81"/>
      <c r="AH81"/>
      <c r="AI81"/>
    </row>
    <row r="82" spans="2:35" ht="15">
      <c r="B82"/>
      <c r="C82"/>
      <c r="D82"/>
      <c r="E82"/>
      <c r="AE82"/>
      <c r="AF82"/>
      <c r="AG82"/>
      <c r="AH82"/>
      <c r="AI82"/>
    </row>
    <row r="83" spans="2:35" ht="15">
      <c r="B83"/>
      <c r="C83"/>
      <c r="D83"/>
      <c r="E83"/>
      <c r="AE83"/>
      <c r="AF83"/>
      <c r="AG83"/>
      <c r="AH83"/>
      <c r="AI83"/>
    </row>
    <row r="84" spans="2:35" ht="15">
      <c r="B84"/>
      <c r="C84"/>
      <c r="D84"/>
      <c r="E84"/>
      <c r="AE84"/>
      <c r="AF84"/>
      <c r="AG84"/>
      <c r="AH84"/>
      <c r="AI84"/>
    </row>
    <row r="85" spans="2:35" ht="15">
      <c r="B85"/>
      <c r="C85"/>
      <c r="D85"/>
      <c r="E85"/>
      <c r="AE85"/>
      <c r="AF85"/>
      <c r="AG85"/>
      <c r="AH85"/>
      <c r="AI85"/>
    </row>
    <row r="86" spans="2:35" ht="15">
      <c r="B86"/>
      <c r="C86"/>
      <c r="D86"/>
      <c r="E86"/>
      <c r="AE86"/>
      <c r="AF86"/>
      <c r="AG86"/>
      <c r="AH86"/>
      <c r="AI86"/>
    </row>
    <row r="87" spans="2:35" ht="15">
      <c r="B87"/>
      <c r="C87"/>
      <c r="D87"/>
      <c r="E87"/>
      <c r="AE87"/>
      <c r="AF87"/>
      <c r="AG87"/>
      <c r="AH87"/>
      <c r="AI87"/>
    </row>
    <row r="88" spans="2:35" ht="15">
      <c r="B88"/>
      <c r="C88"/>
      <c r="D88"/>
      <c r="E88"/>
      <c r="AE88"/>
      <c r="AF88"/>
      <c r="AG88"/>
      <c r="AH88"/>
      <c r="AI88"/>
    </row>
    <row r="89" spans="2:35" ht="15">
      <c r="B89"/>
      <c r="C89"/>
      <c r="D89"/>
      <c r="E89"/>
      <c r="AE89"/>
      <c r="AF89"/>
      <c r="AG89"/>
      <c r="AH89"/>
      <c r="AI89"/>
    </row>
    <row r="90" spans="2:35" ht="15">
      <c r="B90"/>
      <c r="C90"/>
      <c r="D90"/>
      <c r="E90"/>
      <c r="AE90"/>
      <c r="AF90"/>
      <c r="AG90"/>
      <c r="AH90"/>
      <c r="AI90"/>
    </row>
    <row r="91" spans="2:35" ht="15">
      <c r="B91"/>
      <c r="C91"/>
      <c r="D91"/>
      <c r="E91"/>
      <c r="AE91"/>
      <c r="AF91"/>
      <c r="AG91"/>
      <c r="AH91"/>
      <c r="AI91"/>
    </row>
    <row r="92" spans="2:35" ht="15">
      <c r="B92"/>
      <c r="C92"/>
      <c r="D92"/>
      <c r="E92"/>
      <c r="AE92"/>
      <c r="AF92"/>
      <c r="AG92"/>
      <c r="AH92"/>
      <c r="AI92"/>
    </row>
    <row r="93" spans="2:35" ht="15">
      <c r="B93"/>
      <c r="C93"/>
      <c r="D93"/>
      <c r="E93"/>
      <c r="AE93"/>
      <c r="AF93"/>
      <c r="AG93"/>
      <c r="AH93"/>
      <c r="AI93"/>
    </row>
    <row r="94" spans="2:35" ht="15">
      <c r="B94"/>
      <c r="C94"/>
      <c r="D94"/>
      <c r="E94"/>
      <c r="AE94"/>
      <c r="AF94"/>
      <c r="AG94"/>
      <c r="AH94"/>
      <c r="AI94"/>
    </row>
    <row r="95" spans="2:35" ht="15">
      <c r="B95"/>
      <c r="C95"/>
      <c r="D95"/>
      <c r="E95"/>
      <c r="AE95"/>
      <c r="AF95"/>
      <c r="AG95"/>
      <c r="AH95"/>
      <c r="AI95"/>
    </row>
    <row r="96" spans="2:35" ht="15">
      <c r="B96"/>
      <c r="C96"/>
      <c r="D96"/>
      <c r="E96"/>
      <c r="AE96"/>
      <c r="AF96"/>
      <c r="AG96"/>
      <c r="AH96"/>
      <c r="AI96"/>
    </row>
    <row r="97" spans="2:35" ht="15">
      <c r="B97"/>
      <c r="C97"/>
      <c r="D97"/>
      <c r="E97"/>
      <c r="AE97"/>
      <c r="AF97"/>
      <c r="AG97"/>
      <c r="AH97"/>
      <c r="AI97"/>
    </row>
    <row r="98" spans="2:35" ht="15">
      <c r="B98"/>
      <c r="C98"/>
      <c r="D98"/>
      <c r="E98"/>
      <c r="AE98"/>
      <c r="AF98"/>
      <c r="AG98"/>
      <c r="AH98"/>
      <c r="AI98"/>
    </row>
    <row r="99" spans="2:35" ht="15">
      <c r="B99"/>
      <c r="C99"/>
      <c r="D99"/>
      <c r="E99"/>
      <c r="AE99"/>
      <c r="AF99"/>
      <c r="AG99"/>
      <c r="AH99"/>
      <c r="AI99"/>
    </row>
    <row r="100" spans="2:35" ht="15">
      <c r="B100"/>
      <c r="C100"/>
      <c r="D100"/>
      <c r="E100"/>
      <c r="AE100"/>
      <c r="AF100"/>
      <c r="AG100"/>
      <c r="AH100"/>
      <c r="AI100"/>
    </row>
    <row r="101" spans="2:35" ht="15">
      <c r="AE101"/>
      <c r="AF101"/>
      <c r="AG101"/>
      <c r="AH101"/>
      <c r="AI101"/>
    </row>
    <row r="102" spans="2:35" ht="15">
      <c r="AE102"/>
      <c r="AF102"/>
      <c r="AG102"/>
      <c r="AH102"/>
      <c r="AI102"/>
    </row>
    <row r="103" spans="2:35" ht="15">
      <c r="B103"/>
      <c r="C103"/>
      <c r="D103"/>
      <c r="AE103"/>
      <c r="AF103"/>
      <c r="AG103"/>
      <c r="AH103"/>
      <c r="AI103"/>
    </row>
    <row r="104" spans="2:35" ht="15">
      <c r="B104"/>
      <c r="C104"/>
      <c r="D104"/>
      <c r="AE104"/>
      <c r="AF104"/>
      <c r="AG104"/>
      <c r="AH104"/>
      <c r="AI104"/>
    </row>
    <row r="105" spans="2:35" ht="15">
      <c r="B105"/>
      <c r="C105"/>
      <c r="D105"/>
      <c r="AE105"/>
      <c r="AF105"/>
      <c r="AG105"/>
      <c r="AH105"/>
      <c r="AI105"/>
    </row>
    <row r="106" spans="2:35" ht="15">
      <c r="B106"/>
      <c r="C106"/>
      <c r="D106"/>
      <c r="AE106"/>
      <c r="AF106"/>
      <c r="AG106"/>
      <c r="AH106"/>
      <c r="AI106"/>
    </row>
    <row r="107" spans="2:35" ht="15">
      <c r="B107"/>
      <c r="C107"/>
      <c r="D107"/>
      <c r="AE107"/>
      <c r="AF107"/>
      <c r="AG107"/>
      <c r="AH107"/>
      <c r="AI107"/>
    </row>
    <row r="108" spans="2:35" ht="15">
      <c r="B108"/>
      <c r="C108"/>
      <c r="D108"/>
      <c r="AE108"/>
      <c r="AF108"/>
      <c r="AG108"/>
      <c r="AH108"/>
      <c r="AI108"/>
    </row>
    <row r="109" spans="2:35" ht="15">
      <c r="B109"/>
      <c r="C109"/>
      <c r="D109"/>
      <c r="AE109"/>
      <c r="AF109"/>
      <c r="AG109"/>
      <c r="AH109"/>
      <c r="AI109"/>
    </row>
    <row r="110" spans="2:35" ht="15">
      <c r="B110"/>
      <c r="C110"/>
      <c r="D110"/>
      <c r="AE110"/>
      <c r="AF110"/>
      <c r="AG110"/>
      <c r="AH110"/>
      <c r="AI110"/>
    </row>
    <row r="111" spans="2:35" ht="15">
      <c r="B111"/>
      <c r="C111"/>
      <c r="D111"/>
      <c r="AE111"/>
      <c r="AF111"/>
      <c r="AG111"/>
      <c r="AH111"/>
      <c r="AI111"/>
    </row>
    <row r="112" spans="2:35" ht="15">
      <c r="B112"/>
      <c r="C112"/>
      <c r="D112"/>
      <c r="AE112"/>
      <c r="AF112"/>
      <c r="AG112"/>
      <c r="AH112"/>
      <c r="AI112"/>
    </row>
    <row r="113" spans="2:35" ht="15">
      <c r="B113"/>
      <c r="C113"/>
      <c r="D113"/>
      <c r="AE113"/>
      <c r="AF113"/>
      <c r="AG113"/>
      <c r="AH113"/>
      <c r="AI113"/>
    </row>
    <row r="114" spans="2:35" ht="15">
      <c r="B114"/>
      <c r="C114"/>
      <c r="D114"/>
      <c r="AE114"/>
      <c r="AF114"/>
      <c r="AG114"/>
      <c r="AH114"/>
      <c r="AI114"/>
    </row>
    <row r="115" spans="2:35" ht="15">
      <c r="B115"/>
      <c r="C115"/>
      <c r="D115"/>
      <c r="AE115"/>
      <c r="AF115"/>
      <c r="AG115"/>
      <c r="AH115"/>
      <c r="AI115"/>
    </row>
    <row r="116" spans="2:35" ht="15">
      <c r="B116"/>
      <c r="C116"/>
      <c r="D116"/>
      <c r="AE116"/>
      <c r="AF116"/>
      <c r="AG116"/>
      <c r="AH116"/>
      <c r="AI116"/>
    </row>
    <row r="117" spans="2:35" ht="15">
      <c r="B117"/>
      <c r="C117"/>
      <c r="D117"/>
      <c r="AE117"/>
      <c r="AF117"/>
      <c r="AG117"/>
      <c r="AH117"/>
      <c r="AI117"/>
    </row>
    <row r="118" spans="2:35" ht="15">
      <c r="B118"/>
      <c r="C118"/>
      <c r="D118"/>
      <c r="AE118"/>
      <c r="AF118"/>
      <c r="AG118"/>
      <c r="AH118"/>
      <c r="AI118"/>
    </row>
    <row r="119" spans="2:35" ht="15">
      <c r="B119"/>
      <c r="C119"/>
      <c r="D119"/>
      <c r="AE119"/>
      <c r="AF119"/>
      <c r="AG119"/>
      <c r="AH119"/>
      <c r="AI119"/>
    </row>
    <row r="120" spans="2:35" ht="15">
      <c r="AE120"/>
      <c r="AF120"/>
      <c r="AG120"/>
      <c r="AH120"/>
      <c r="AI120"/>
    </row>
    <row r="121" spans="2:35" ht="15">
      <c r="AE121"/>
      <c r="AF121"/>
      <c r="AG121"/>
      <c r="AH121"/>
      <c r="AI121"/>
    </row>
    <row r="122" spans="2:35" ht="15">
      <c r="AE122"/>
      <c r="AF122"/>
      <c r="AG122"/>
      <c r="AH122"/>
      <c r="AI122"/>
    </row>
    <row r="123" spans="2:35" ht="15">
      <c r="AE123"/>
      <c r="AF123"/>
      <c r="AG123"/>
      <c r="AH123"/>
      <c r="AI123"/>
    </row>
    <row r="124" spans="2:35" ht="15">
      <c r="AE124"/>
      <c r="AF124"/>
      <c r="AG124"/>
      <c r="AH124"/>
      <c r="AI124"/>
    </row>
    <row r="125" spans="2:35" ht="15">
      <c r="AE125"/>
      <c r="AF125"/>
      <c r="AG125"/>
      <c r="AH125"/>
      <c r="AI125"/>
    </row>
    <row r="126" spans="2:35" ht="15">
      <c r="AE126"/>
      <c r="AF126"/>
      <c r="AG126"/>
      <c r="AH126"/>
      <c r="AI126"/>
    </row>
    <row r="127" spans="2:35" ht="15">
      <c r="AE127"/>
      <c r="AF127"/>
      <c r="AG127"/>
      <c r="AH127"/>
      <c r="AI127"/>
    </row>
    <row r="128" spans="2:35" ht="15">
      <c r="AE128"/>
      <c r="AF128"/>
      <c r="AG128"/>
      <c r="AH128"/>
      <c r="AI128"/>
    </row>
    <row r="129" spans="31:35" ht="15">
      <c r="AE129"/>
      <c r="AF129"/>
      <c r="AG129"/>
      <c r="AH129"/>
      <c r="AI129"/>
    </row>
    <row r="130" spans="31:35" ht="15">
      <c r="AE130"/>
      <c r="AF130"/>
      <c r="AG130"/>
      <c r="AH130"/>
      <c r="AI130"/>
    </row>
    <row r="131" spans="31:35" ht="15">
      <c r="AE131"/>
      <c r="AF131"/>
      <c r="AG131"/>
      <c r="AH131"/>
      <c r="AI131"/>
    </row>
    <row r="132" spans="31:35" ht="15">
      <c r="AE132"/>
      <c r="AF132"/>
      <c r="AG132"/>
      <c r="AH132"/>
      <c r="AI132"/>
    </row>
    <row r="133" spans="31:35" ht="15">
      <c r="AE133"/>
      <c r="AF133"/>
      <c r="AG133"/>
      <c r="AH133"/>
      <c r="AI133"/>
    </row>
    <row r="134" spans="31:35" ht="15">
      <c r="AE134"/>
      <c r="AF134"/>
      <c r="AG134"/>
      <c r="AH134"/>
      <c r="AI134"/>
    </row>
    <row r="135" spans="31:35" ht="15">
      <c r="AE135"/>
      <c r="AF135"/>
      <c r="AG135"/>
      <c r="AH135"/>
      <c r="AI135"/>
    </row>
    <row r="136" spans="31:35" ht="15">
      <c r="AE136"/>
      <c r="AF136"/>
      <c r="AG136"/>
      <c r="AH136"/>
      <c r="AI136"/>
    </row>
    <row r="137" spans="31:35" ht="15">
      <c r="AE137"/>
      <c r="AF137"/>
      <c r="AG137"/>
      <c r="AH137"/>
      <c r="AI137"/>
    </row>
    <row r="138" spans="31:35" ht="15">
      <c r="AE138"/>
      <c r="AF138"/>
      <c r="AG138"/>
      <c r="AH138"/>
      <c r="AI138"/>
    </row>
    <row r="139" spans="31:35" ht="15">
      <c r="AE139"/>
      <c r="AF139"/>
      <c r="AG139"/>
      <c r="AH139"/>
      <c r="AI139"/>
    </row>
    <row r="140" spans="31:35" ht="15">
      <c r="AE140"/>
      <c r="AF140"/>
      <c r="AG140"/>
      <c r="AH140"/>
      <c r="AI140"/>
    </row>
    <row r="141" spans="31:35" ht="15">
      <c r="AE141"/>
      <c r="AF141"/>
      <c r="AG141"/>
      <c r="AH141"/>
      <c r="AI141"/>
    </row>
  </sheetData>
  <mergeCells count="7">
    <mergeCell ref="B27:C27"/>
    <mergeCell ref="AB1:AC1"/>
    <mergeCell ref="B13:C13"/>
    <mergeCell ref="B17:C17"/>
    <mergeCell ref="B21:C21"/>
    <mergeCell ref="B25:C25"/>
    <mergeCell ref="B7:C7"/>
  </mergeCells>
  <dataValidations count="6">
    <dataValidation type="list" allowBlank="1" showInputMessage="1" showErrorMessage="1" sqref="B25:C25">
      <formula1>lst_SolCol</formula1>
    </dataValidation>
    <dataValidation type="list" allowBlank="1" showInputMessage="1" showErrorMessage="1" sqref="B21:C21">
      <formula1>lst_Boilers</formula1>
    </dataValidation>
    <dataValidation type="list" allowBlank="1" showInputMessage="1" showErrorMessage="1" sqref="B17:C17">
      <formula1>lst_Ctrl</formula1>
    </dataValidation>
    <dataValidation type="list" allowBlank="1" showInputMessage="1" showErrorMessage="1" sqref="B27:C27">
      <formula1>lst_HWST</formula1>
    </dataValidation>
    <dataValidation type="list" allowBlank="1" showInputMessage="1" showErrorMessage="1" sqref="C22">
      <formula1>YesNo</formula1>
    </dataValidation>
    <dataValidation type="list" allowBlank="1" showInputMessage="1" showErrorMessage="1" sqref="B13:C13">
      <formula1>lst_HeatPump</formula1>
    </dataValidation>
  </dataValidations>
  <hyperlinks>
    <hyperlink ref="B1" location="Index!A1" display="Back to index"/>
  </hyperlinks>
  <pageMargins left="0.75" right="0.75" top="1" bottom="1" header="0.5" footer="0.5"/>
  <pageSetup paperSize="9" scale="77" orientation="portrait" horizontalDpi="0" verticalDpi="0" r:id="rId1"/>
  <headerFooter alignWithMargins="0"/>
  <drawing r:id="rId2"/>
</worksheet>
</file>

<file path=xl/worksheets/sheet7.xml><?xml version="1.0" encoding="utf-8"?>
<worksheet xmlns="http://schemas.openxmlformats.org/spreadsheetml/2006/main" xmlns:r="http://schemas.openxmlformats.org/officeDocument/2006/relationships">
  <sheetPr>
    <pageSetUpPr fitToPage="1"/>
  </sheetPr>
  <dimension ref="A1:AP82"/>
  <sheetViews>
    <sheetView showGridLines="0" zoomScale="80" zoomScaleNormal="80" workbookViewId="0"/>
  </sheetViews>
  <sheetFormatPr defaultRowHeight="12.75"/>
  <cols>
    <col min="1" max="1" width="3.7109375" style="3" customWidth="1"/>
    <col min="2" max="2" width="17.28515625" style="3" customWidth="1"/>
    <col min="3" max="3" width="9.7109375" style="3" customWidth="1"/>
    <col min="4" max="4" width="6.42578125" style="3" customWidth="1"/>
    <col min="5" max="5" width="10.28515625" style="3" customWidth="1"/>
    <col min="6" max="6" width="9.5703125" style="3" customWidth="1"/>
    <col min="7" max="7" width="10" style="3" customWidth="1"/>
    <col min="8" max="8" width="4" style="3" customWidth="1"/>
    <col min="9" max="9" width="2.28515625" style="3" customWidth="1"/>
    <col min="10" max="10" width="3.85546875" style="3" customWidth="1"/>
    <col min="11" max="12" width="5.85546875" style="3" customWidth="1"/>
    <col min="13" max="13" width="2.7109375" style="3" customWidth="1"/>
    <col min="14" max="14" width="5.85546875" style="3" customWidth="1"/>
    <col min="15" max="15" width="3.42578125" style="3" customWidth="1"/>
    <col min="16" max="16" width="5.42578125" style="3" customWidth="1"/>
    <col min="17" max="17" width="1.7109375" style="3" bestFit="1" customWidth="1"/>
    <col min="18" max="18" width="5.42578125" style="3" customWidth="1"/>
    <col min="19" max="19" width="2.140625" style="3" customWidth="1"/>
    <col min="20" max="20" width="5.42578125" style="3" customWidth="1"/>
    <col min="21" max="21" width="2" style="3" customWidth="1"/>
    <col min="22" max="22" width="5.42578125" style="3" customWidth="1"/>
    <col min="23" max="23" width="3.140625" style="3" bestFit="1" customWidth="1"/>
    <col min="24" max="24" width="5.42578125" style="3" customWidth="1"/>
    <col min="25" max="25" width="2.85546875" style="3" bestFit="1" customWidth="1"/>
    <col min="26" max="26" width="5.42578125" style="3" customWidth="1"/>
    <col min="27" max="27" width="1.7109375" style="3" bestFit="1" customWidth="1"/>
    <col min="28" max="28" width="5.42578125" style="3" customWidth="1"/>
    <col min="29" max="29" width="2.140625" style="3" customWidth="1"/>
    <col min="30" max="30" width="5.42578125" style="3" customWidth="1"/>
    <col min="31" max="32" width="4.85546875" style="3" customWidth="1"/>
    <col min="33" max="33" width="24.140625" style="3" bestFit="1" customWidth="1"/>
    <col min="34" max="34" width="14.28515625" style="3" customWidth="1"/>
    <col min="35" max="35" width="10.85546875" style="3" customWidth="1"/>
    <col min="36" max="16384" width="9.140625" style="3"/>
  </cols>
  <sheetData>
    <row r="1" spans="1:38" ht="15">
      <c r="A1" s="2"/>
      <c r="B1" s="225" t="s">
        <v>312</v>
      </c>
      <c r="D1" s="2"/>
      <c r="E1" s="2"/>
      <c r="F1" s="2"/>
      <c r="G1" s="2"/>
      <c r="H1" s="2"/>
      <c r="I1" s="3" t="s">
        <v>13</v>
      </c>
      <c r="J1" s="2"/>
      <c r="K1" s="2"/>
      <c r="L1" s="3" t="s">
        <v>14</v>
      </c>
      <c r="P1" s="2"/>
      <c r="Q1" s="2"/>
      <c r="R1" s="2"/>
      <c r="S1" s="2"/>
      <c r="T1" s="4"/>
      <c r="U1" s="2"/>
      <c r="V1" s="4"/>
      <c r="W1" s="2"/>
      <c r="X1" s="4"/>
      <c r="Y1" s="2"/>
      <c r="Z1" s="4"/>
      <c r="AD1" s="371">
        <v>41341</v>
      </c>
      <c r="AE1" s="389"/>
      <c r="AG1" s="2"/>
      <c r="AH1" s="2"/>
      <c r="AI1" s="2"/>
      <c r="AJ1" s="2"/>
      <c r="AK1" s="2"/>
    </row>
    <row r="2" spans="1:38">
      <c r="A2" s="2"/>
      <c r="D2" s="2"/>
      <c r="E2" s="2"/>
      <c r="F2" s="2"/>
      <c r="G2" s="2"/>
      <c r="H2" s="2"/>
      <c r="I2" s="3" t="s">
        <v>15</v>
      </c>
      <c r="J2" s="2"/>
      <c r="K2" s="2"/>
      <c r="L2" s="3" t="s">
        <v>16</v>
      </c>
      <c r="P2" s="2"/>
      <c r="Q2" s="2"/>
      <c r="R2" s="2"/>
      <c r="S2" s="2"/>
      <c r="T2" s="4"/>
      <c r="U2" s="2"/>
      <c r="V2" s="4"/>
      <c r="W2" s="2"/>
      <c r="X2" s="4"/>
      <c r="Y2" s="2"/>
      <c r="Z2" s="4"/>
      <c r="AD2" s="5"/>
      <c r="AE2" s="288" t="s">
        <v>17</v>
      </c>
      <c r="AG2" s="2"/>
    </row>
    <row r="3" spans="1:38">
      <c r="I3" s="3" t="s">
        <v>18</v>
      </c>
      <c r="J3" s="2"/>
      <c r="K3" s="2"/>
      <c r="L3" s="3" t="s">
        <v>19</v>
      </c>
      <c r="P3" s="2"/>
      <c r="Q3" s="2"/>
      <c r="R3" s="2"/>
      <c r="S3" s="2"/>
      <c r="T3" s="4"/>
      <c r="U3" s="2"/>
      <c r="V3" s="4"/>
      <c r="W3" s="2"/>
      <c r="X3" s="4"/>
      <c r="Y3" s="2"/>
      <c r="Z3" s="4"/>
      <c r="AD3" s="5"/>
      <c r="AE3" s="7" t="s">
        <v>20</v>
      </c>
    </row>
    <row r="4" spans="1:38">
      <c r="B4" s="8" t="s">
        <v>21</v>
      </c>
      <c r="C4" s="9"/>
      <c r="D4" s="10"/>
      <c r="E4" s="10"/>
      <c r="F4" s="10"/>
      <c r="G4" s="10"/>
      <c r="I4" s="9" t="s">
        <v>22</v>
      </c>
      <c r="J4" s="10"/>
      <c r="K4" s="10"/>
      <c r="L4" s="9" t="s">
        <v>23</v>
      </c>
      <c r="M4" s="10"/>
      <c r="N4" s="10"/>
      <c r="O4" s="10"/>
      <c r="P4" s="10"/>
      <c r="Q4" s="10"/>
      <c r="R4" s="10"/>
      <c r="S4" s="10"/>
      <c r="T4" s="11"/>
      <c r="U4" s="10"/>
      <c r="V4" s="11"/>
      <c r="W4" s="10"/>
      <c r="X4" s="11"/>
      <c r="Y4" s="10"/>
      <c r="Z4" s="11"/>
      <c r="AA4" s="9"/>
      <c r="AB4" s="9"/>
      <c r="AC4" s="9"/>
      <c r="AD4" s="12"/>
      <c r="AE4" s="13" t="s">
        <v>493</v>
      </c>
      <c r="AG4" s="286" t="s">
        <v>25</v>
      </c>
      <c r="AH4" s="9"/>
      <c r="AI4" s="9"/>
      <c r="AJ4" s="9"/>
      <c r="AK4" s="9"/>
    </row>
    <row r="5" spans="1:38">
      <c r="B5" s="2"/>
      <c r="C5" s="2"/>
      <c r="D5" s="2"/>
      <c r="E5" s="2"/>
      <c r="F5" s="2"/>
      <c r="G5" s="2"/>
    </row>
    <row r="6" spans="1:38">
      <c r="B6" s="2"/>
      <c r="C6" s="2"/>
      <c r="D6" s="2"/>
      <c r="E6" s="2"/>
      <c r="F6" s="2"/>
      <c r="G6" s="2"/>
      <c r="AG6" s="3" t="s">
        <v>442</v>
      </c>
      <c r="AK6" s="2"/>
      <c r="AL6" s="2"/>
    </row>
    <row r="7" spans="1:38">
      <c r="B7" s="384" t="s">
        <v>438</v>
      </c>
      <c r="C7" s="385"/>
      <c r="E7" s="15" t="s">
        <v>440</v>
      </c>
      <c r="F7" s="16"/>
      <c r="G7" s="17"/>
      <c r="AG7" s="3" t="s">
        <v>443</v>
      </c>
      <c r="AK7" s="2"/>
      <c r="AL7" s="2"/>
    </row>
    <row r="8" spans="1:38">
      <c r="B8" s="350" t="s">
        <v>439</v>
      </c>
      <c r="C8" s="351"/>
      <c r="E8" s="287" t="s">
        <v>441</v>
      </c>
      <c r="F8" s="18"/>
      <c r="G8" s="19"/>
      <c r="AK8" s="2"/>
      <c r="AL8" s="2"/>
    </row>
    <row r="9" spans="1:38">
      <c r="AG9" s="352" t="s">
        <v>431</v>
      </c>
      <c r="AK9" s="2"/>
      <c r="AL9" s="2"/>
    </row>
    <row r="10" spans="1:38">
      <c r="AG10" s="20" t="s">
        <v>27</v>
      </c>
      <c r="AI10" s="21"/>
      <c r="AK10" s="2"/>
      <c r="AL10" s="2"/>
    </row>
    <row r="11" spans="1:38" ht="13.5" thickBot="1">
      <c r="AG11" s="20" t="s">
        <v>28</v>
      </c>
      <c r="AI11" s="22"/>
      <c r="AJ11" s="3" t="s">
        <v>29</v>
      </c>
      <c r="AK11" s="2"/>
      <c r="AL11" s="2"/>
    </row>
    <row r="12" spans="1:38">
      <c r="I12" s="23"/>
      <c r="J12" s="24"/>
      <c r="K12" s="24"/>
      <c r="L12" s="24"/>
      <c r="M12" s="24"/>
      <c r="N12" s="24"/>
      <c r="O12" s="24"/>
      <c r="P12" s="24"/>
      <c r="Q12" s="24"/>
      <c r="R12" s="24"/>
      <c r="S12" s="24"/>
      <c r="T12" s="24"/>
      <c r="U12" s="24"/>
      <c r="V12" s="24"/>
      <c r="W12" s="24"/>
      <c r="X12" s="24"/>
      <c r="Y12" s="24"/>
      <c r="Z12" s="24"/>
      <c r="AA12" s="24"/>
      <c r="AB12" s="24"/>
      <c r="AC12" s="24"/>
      <c r="AD12" s="24"/>
      <c r="AE12" s="25"/>
      <c r="AG12" s="26" t="s">
        <v>30</v>
      </c>
      <c r="AH12" s="27"/>
      <c r="AI12" s="28"/>
      <c r="AJ12" s="3" t="s">
        <v>29</v>
      </c>
      <c r="AK12" s="2"/>
      <c r="AL12" s="2"/>
    </row>
    <row r="13" spans="1:38">
      <c r="B13" s="29" t="s">
        <v>31</v>
      </c>
      <c r="C13" s="30"/>
      <c r="D13" s="30"/>
      <c r="E13" s="2"/>
      <c r="G13" s="31" t="s">
        <v>32</v>
      </c>
      <c r="H13" s="2"/>
      <c r="I13" s="32"/>
      <c r="J13" s="33"/>
      <c r="K13" s="33"/>
      <c r="L13" s="33"/>
      <c r="M13" s="33"/>
      <c r="N13" s="33"/>
      <c r="O13" s="33"/>
      <c r="P13" s="33"/>
      <c r="Q13" s="33"/>
      <c r="R13" s="33"/>
      <c r="S13" s="33"/>
      <c r="T13" s="33"/>
      <c r="U13" s="33"/>
      <c r="V13" s="33"/>
      <c r="W13" s="33"/>
      <c r="X13" s="33"/>
      <c r="Y13" s="33"/>
      <c r="Z13" s="33"/>
      <c r="AA13" s="33"/>
      <c r="AB13" s="33"/>
      <c r="AC13" s="33"/>
      <c r="AD13" s="34" t="s">
        <v>33</v>
      </c>
      <c r="AE13" s="35"/>
      <c r="AG13" s="26" t="s">
        <v>34</v>
      </c>
      <c r="AH13" s="27"/>
      <c r="AI13" s="36"/>
      <c r="AJ13" s="3" t="s">
        <v>29</v>
      </c>
      <c r="AK13" s="2"/>
      <c r="AL13" s="2"/>
    </row>
    <row r="14" spans="1:38">
      <c r="B14" s="380" t="s">
        <v>124</v>
      </c>
      <c r="C14" s="381"/>
      <c r="D14" s="37"/>
      <c r="E14" s="38"/>
      <c r="F14" s="38"/>
      <c r="G14" s="39">
        <f>VLOOKUP(B14,dbf_Waterheaters,2,FALSE)</f>
        <v>80</v>
      </c>
      <c r="H14" s="40" t="s">
        <v>36</v>
      </c>
      <c r="I14" s="41"/>
      <c r="J14" s="33" t="s">
        <v>37</v>
      </c>
      <c r="K14" s="33"/>
      <c r="L14" s="33"/>
      <c r="M14" s="33"/>
      <c r="N14" s="33"/>
      <c r="O14" s="33"/>
      <c r="P14" s="33"/>
      <c r="Q14" s="33"/>
      <c r="R14" s="33"/>
      <c r="S14" s="33"/>
      <c r="T14" s="33"/>
      <c r="U14" s="33"/>
      <c r="V14" s="33"/>
      <c r="W14" s="33"/>
      <c r="X14" s="33"/>
      <c r="Y14" s="33"/>
      <c r="Z14" s="33"/>
      <c r="AA14" s="33"/>
      <c r="AB14" s="33"/>
      <c r="AC14" s="42" t="s">
        <v>38</v>
      </c>
      <c r="AD14" s="43">
        <f>G14</f>
        <v>80</v>
      </c>
      <c r="AE14" s="35" t="s">
        <v>39</v>
      </c>
      <c r="AG14" s="20" t="s">
        <v>40</v>
      </c>
      <c r="AH14" s="27"/>
      <c r="AI14" s="44"/>
      <c r="AJ14" s="3" t="s">
        <v>29</v>
      </c>
      <c r="AK14" s="2"/>
      <c r="AL14" s="2"/>
    </row>
    <row r="15" spans="1:38">
      <c r="F15" s="38"/>
      <c r="G15" s="31" t="s">
        <v>41</v>
      </c>
      <c r="I15" s="41"/>
      <c r="J15" s="33"/>
      <c r="K15" s="33"/>
      <c r="L15" s="33"/>
      <c r="M15" s="33"/>
      <c r="N15" s="33"/>
      <c r="O15" s="33"/>
      <c r="P15" s="33"/>
      <c r="Q15" s="33"/>
      <c r="R15" s="33"/>
      <c r="S15" s="33"/>
      <c r="T15" s="33"/>
      <c r="U15" s="33"/>
      <c r="V15" s="33"/>
      <c r="W15" s="33"/>
      <c r="X15" s="33"/>
      <c r="Y15" s="33"/>
      <c r="Z15" s="33"/>
      <c r="AA15" s="33"/>
      <c r="AB15" s="33"/>
      <c r="AC15" s="33"/>
      <c r="AD15" s="33"/>
      <c r="AE15" s="35"/>
      <c r="AI15" s="2"/>
      <c r="AJ15" s="2"/>
      <c r="AK15" s="2"/>
      <c r="AL15" s="2"/>
    </row>
    <row r="16" spans="1:38">
      <c r="F16" s="38"/>
      <c r="G16" s="45" t="str">
        <f>VLOOKUP(B14,dbf_Waterheaters,3,FALSE)</f>
        <v>L</v>
      </c>
      <c r="H16" s="40" t="s">
        <v>36</v>
      </c>
      <c r="I16" s="41"/>
      <c r="J16" s="33"/>
      <c r="K16" s="33"/>
      <c r="L16" s="33"/>
      <c r="M16" s="33"/>
      <c r="N16" s="33"/>
      <c r="O16" s="33"/>
      <c r="P16" s="33"/>
      <c r="Q16" s="33"/>
      <c r="R16" s="33"/>
      <c r="S16" s="33"/>
      <c r="T16" s="33"/>
      <c r="U16" s="33"/>
      <c r="V16" s="46" t="s">
        <v>42</v>
      </c>
      <c r="W16" s="33"/>
      <c r="X16" s="47" t="str">
        <f>G16</f>
        <v>L</v>
      </c>
      <c r="Y16" s="33"/>
      <c r="Z16" s="33"/>
      <c r="AA16" s="33"/>
      <c r="AB16" s="33"/>
      <c r="AC16" s="33"/>
      <c r="AD16" s="33"/>
      <c r="AE16" s="35"/>
      <c r="AI16" s="2"/>
      <c r="AJ16" s="2"/>
      <c r="AK16" s="2"/>
      <c r="AL16" s="2"/>
    </row>
    <row r="17" spans="2:38" ht="15">
      <c r="B17" s="370" t="s">
        <v>416</v>
      </c>
      <c r="C17" s="370"/>
      <c r="D17" s="370"/>
      <c r="E17" s="370"/>
      <c r="F17" s="370"/>
      <c r="G17" s="370"/>
      <c r="I17" s="41"/>
      <c r="J17" s="48"/>
      <c r="K17" s="48"/>
      <c r="L17" s="48"/>
      <c r="M17" s="48"/>
      <c r="N17" s="48"/>
      <c r="O17" s="48"/>
      <c r="P17" s="48"/>
      <c r="Q17" s="48"/>
      <c r="R17" s="48"/>
      <c r="S17" s="48"/>
      <c r="T17" s="48"/>
      <c r="U17" s="48"/>
      <c r="V17" s="48"/>
      <c r="W17" s="48"/>
      <c r="X17" s="48"/>
      <c r="Y17" s="48"/>
      <c r="Z17" s="48"/>
      <c r="AA17" s="48"/>
      <c r="AB17" s="48"/>
      <c r="AC17" s="48"/>
      <c r="AD17" s="48"/>
      <c r="AE17" s="35"/>
      <c r="AG17" s="49"/>
      <c r="AI17" s="50"/>
      <c r="AJ17" s="50"/>
      <c r="AK17" s="50"/>
      <c r="AL17" s="50"/>
    </row>
    <row r="18" spans="2:38">
      <c r="B18" s="62" t="s">
        <v>496</v>
      </c>
      <c r="I18" s="51"/>
      <c r="J18" s="33"/>
      <c r="K18" s="33"/>
      <c r="L18" s="33"/>
      <c r="M18" s="33"/>
      <c r="N18" s="33"/>
      <c r="O18" s="33"/>
      <c r="P18" s="33"/>
      <c r="Q18" s="33"/>
      <c r="R18" s="33"/>
      <c r="S18" s="33"/>
      <c r="T18" s="33"/>
      <c r="U18" s="33"/>
      <c r="V18" s="33"/>
      <c r="W18" s="34"/>
      <c r="X18" s="33"/>
      <c r="Y18" s="33"/>
      <c r="Z18" s="33"/>
      <c r="AA18" s="33"/>
      <c r="AB18" s="33"/>
      <c r="AC18" s="33"/>
      <c r="AD18" s="33"/>
      <c r="AE18" s="35"/>
      <c r="AG18" s="2"/>
      <c r="AI18" s="2"/>
      <c r="AJ18" s="2"/>
      <c r="AK18" s="2"/>
      <c r="AL18" s="2"/>
    </row>
    <row r="19" spans="2:38" ht="15">
      <c r="B19" s="327" t="s">
        <v>497</v>
      </c>
      <c r="C19"/>
      <c r="F19" s="52" t="s">
        <v>44</v>
      </c>
      <c r="G19" s="52" t="s">
        <v>45</v>
      </c>
      <c r="I19" s="51"/>
      <c r="J19" s="33" t="s">
        <v>43</v>
      </c>
      <c r="K19" s="33"/>
      <c r="L19" s="33"/>
      <c r="M19" s="33"/>
      <c r="N19" s="33"/>
      <c r="O19" s="33"/>
      <c r="P19" s="33"/>
      <c r="Q19" s="33"/>
      <c r="R19" s="33"/>
      <c r="S19" s="33"/>
      <c r="T19" s="33"/>
      <c r="U19" s="33"/>
      <c r="V19" s="33"/>
      <c r="W19" s="33"/>
      <c r="X19" s="33"/>
      <c r="Y19" s="33"/>
      <c r="Z19" s="33"/>
      <c r="AA19" s="33"/>
      <c r="AB19" s="33"/>
      <c r="AC19" s="33"/>
      <c r="AD19" s="33"/>
      <c r="AE19" s="35"/>
      <c r="AI19" s="2"/>
      <c r="AJ19" s="2"/>
      <c r="AK19" s="2"/>
      <c r="AL19" s="2"/>
    </row>
    <row r="20" spans="2:38">
      <c r="I20" s="53"/>
      <c r="J20" s="33" t="s">
        <v>46</v>
      </c>
      <c r="K20" s="33"/>
      <c r="L20" s="33"/>
      <c r="M20" s="33"/>
      <c r="N20" s="33"/>
      <c r="O20" s="33"/>
      <c r="P20" s="33"/>
      <c r="Q20" s="33"/>
      <c r="R20" s="33"/>
      <c r="S20" s="33"/>
      <c r="T20" s="33"/>
      <c r="U20" s="33"/>
      <c r="V20" s="33"/>
      <c r="W20" s="33"/>
      <c r="X20" s="33"/>
      <c r="Y20" s="33"/>
      <c r="Z20" s="33"/>
      <c r="AA20" s="33"/>
      <c r="AB20" s="33"/>
      <c r="AC20" s="33"/>
      <c r="AD20" s="33"/>
      <c r="AE20" s="35"/>
    </row>
    <row r="21" spans="2:38">
      <c r="B21" s="62" t="s">
        <v>414</v>
      </c>
      <c r="F21" s="56" t="s">
        <v>47</v>
      </c>
      <c r="G21" s="52" t="s">
        <v>47</v>
      </c>
      <c r="I21" s="53"/>
      <c r="J21" s="33"/>
      <c r="K21" s="33"/>
      <c r="L21" s="33"/>
      <c r="M21" s="33"/>
      <c r="N21" s="33"/>
      <c r="O21" s="33"/>
      <c r="P21" s="33"/>
      <c r="Q21" s="33"/>
      <c r="R21" s="33"/>
      <c r="S21" s="33"/>
      <c r="T21" s="42" t="s">
        <v>38</v>
      </c>
      <c r="U21" s="33"/>
      <c r="V21" s="33"/>
      <c r="W21" s="33"/>
      <c r="X21" s="42" t="s">
        <v>48</v>
      </c>
      <c r="Y21" s="33"/>
      <c r="Z21" s="42" t="s">
        <v>49</v>
      </c>
      <c r="AA21" s="33"/>
      <c r="AB21" s="42" t="s">
        <v>38</v>
      </c>
      <c r="AC21" s="33"/>
      <c r="AD21" s="34" t="s">
        <v>50</v>
      </c>
      <c r="AE21" s="35"/>
    </row>
    <row r="22" spans="2:38">
      <c r="B22" s="288" t="s">
        <v>410</v>
      </c>
      <c r="C22" s="294">
        <v>0.5</v>
      </c>
      <c r="D22" s="37"/>
      <c r="E22" s="37"/>
      <c r="F22" s="57">
        <f>(1-C22)*C23</f>
        <v>1399.4010000000001</v>
      </c>
      <c r="G22" s="58">
        <f>(C26*2000+C27*24*365)/1000</f>
        <v>103.8</v>
      </c>
      <c r="H22" s="40" t="s">
        <v>36</v>
      </c>
      <c r="I22" s="51"/>
      <c r="J22" s="33"/>
      <c r="K22" s="33"/>
      <c r="L22" s="33"/>
      <c r="M22" s="33"/>
      <c r="N22" s="33"/>
      <c r="O22" s="33"/>
      <c r="P22" s="33"/>
      <c r="Q22" s="33" t="s">
        <v>51</v>
      </c>
      <c r="R22" s="33">
        <v>1.1000000000000001</v>
      </c>
      <c r="S22" s="33" t="s">
        <v>7</v>
      </c>
      <c r="T22" s="349">
        <f>G14</f>
        <v>80</v>
      </c>
      <c r="U22" s="59" t="s">
        <v>52</v>
      </c>
      <c r="V22" s="60">
        <v>0.1</v>
      </c>
      <c r="W22" s="33" t="s">
        <v>53</v>
      </c>
      <c r="X22" s="345">
        <f>220*HLOOKUP(G16,dbf_Qref,2,FALSE)/F22</f>
        <v>1.832283955778222</v>
      </c>
      <c r="Y22" s="59" t="s">
        <v>52</v>
      </c>
      <c r="Z22" s="345">
        <f>(G22*2.5)/(220*HLOOKUP(G16,dbf_Qref,2,FALSE))*100</f>
        <v>10.12051012051012</v>
      </c>
      <c r="AA22" s="59" t="s">
        <v>52</v>
      </c>
      <c r="AB22" s="349">
        <f>G14</f>
        <v>80</v>
      </c>
      <c r="AC22" s="59" t="s">
        <v>54</v>
      </c>
      <c r="AD22" s="61">
        <f>(1.1*T22-10)*X22-Z22-AB22</f>
        <v>52.797638430191199</v>
      </c>
      <c r="AE22" s="35" t="s">
        <v>39</v>
      </c>
    </row>
    <row r="23" spans="2:38">
      <c r="B23" s="292" t="s">
        <v>412</v>
      </c>
      <c r="C23" s="64">
        <f>(HLOOKUP(G16,dbf_Qref,2,FALSE)+1.09)*366*0.6</f>
        <v>2798.8020000000001</v>
      </c>
      <c r="D23" s="308" t="s">
        <v>415</v>
      </c>
      <c r="E23" s="62"/>
      <c r="I23" s="53"/>
      <c r="J23" s="48"/>
      <c r="K23" s="48"/>
      <c r="L23" s="48"/>
      <c r="M23" s="48"/>
      <c r="N23" s="48"/>
      <c r="O23" s="48"/>
      <c r="P23" s="48"/>
      <c r="Q23" s="48"/>
      <c r="R23" s="48"/>
      <c r="S23" s="48"/>
      <c r="T23" s="48"/>
      <c r="U23" s="48"/>
      <c r="V23" s="48"/>
      <c r="W23" s="48"/>
      <c r="X23" s="48"/>
      <c r="Y23" s="48"/>
      <c r="Z23" s="48"/>
      <c r="AA23" s="63"/>
      <c r="AB23" s="48"/>
      <c r="AC23" s="48"/>
      <c r="AD23" s="48"/>
      <c r="AE23" s="35"/>
    </row>
    <row r="24" spans="2:38" ht="15">
      <c r="D24" s="308"/>
      <c r="E24"/>
      <c r="I24" s="53"/>
      <c r="J24" s="33"/>
      <c r="K24" s="33"/>
      <c r="L24" s="33"/>
      <c r="M24" s="33"/>
      <c r="N24" s="33"/>
      <c r="O24" s="33"/>
      <c r="P24" s="33"/>
      <c r="Q24" s="33"/>
      <c r="R24" s="33"/>
      <c r="S24" s="33"/>
      <c r="T24" s="33"/>
      <c r="U24" s="33"/>
      <c r="V24" s="33"/>
      <c r="W24" s="33"/>
      <c r="X24" s="33"/>
      <c r="Y24" s="33"/>
      <c r="Z24" s="33"/>
      <c r="AA24" s="33"/>
      <c r="AB24" s="33"/>
      <c r="AC24" s="33"/>
      <c r="AD24" s="34" t="s">
        <v>55</v>
      </c>
      <c r="AE24" s="35"/>
    </row>
    <row r="25" spans="2:38" ht="15">
      <c r="B25" s="62" t="s">
        <v>413</v>
      </c>
      <c r="D25" s="308"/>
      <c r="F25"/>
      <c r="G25"/>
      <c r="H25"/>
      <c r="I25" s="53"/>
      <c r="J25" s="33" t="s">
        <v>57</v>
      </c>
      <c r="K25" s="33"/>
      <c r="L25" s="33"/>
      <c r="M25" s="33"/>
      <c r="N25" s="33"/>
      <c r="O25" s="33"/>
      <c r="P25" s="33"/>
      <c r="Q25" s="33"/>
      <c r="R25" s="33"/>
      <c r="S25" s="33"/>
      <c r="T25" s="33"/>
      <c r="U25" s="33"/>
      <c r="V25" s="33"/>
      <c r="W25" s="33"/>
      <c r="X25" s="33"/>
      <c r="Y25" s="33"/>
      <c r="Z25" s="33"/>
      <c r="AA25" s="33"/>
      <c r="AB25" s="33"/>
      <c r="AC25" s="33"/>
      <c r="AD25" s="61">
        <f>AD14+AD22</f>
        <v>132.7976384301912</v>
      </c>
      <c r="AE25" s="35" t="s">
        <v>39</v>
      </c>
    </row>
    <row r="26" spans="2:38">
      <c r="B26" s="288" t="s">
        <v>409</v>
      </c>
      <c r="C26" s="21">
        <v>30</v>
      </c>
      <c r="D26" s="308" t="s">
        <v>335</v>
      </c>
      <c r="F26" s="55"/>
      <c r="G26" s="55"/>
      <c r="H26" s="30"/>
      <c r="I26" s="53"/>
      <c r="J26" s="33"/>
      <c r="K26" s="33"/>
      <c r="L26" s="33"/>
      <c r="M26" s="33"/>
      <c r="N26" s="33"/>
      <c r="O26" s="33"/>
      <c r="P26" s="33"/>
      <c r="Q26" s="33"/>
      <c r="R26" s="33"/>
      <c r="S26" s="33"/>
      <c r="T26" s="33"/>
      <c r="U26" s="33"/>
      <c r="V26" s="33"/>
      <c r="W26" s="33"/>
      <c r="X26" s="33"/>
      <c r="Y26" s="33"/>
      <c r="Z26" s="33"/>
      <c r="AA26" s="33"/>
      <c r="AB26" s="33"/>
      <c r="AC26" s="33"/>
      <c r="AD26" s="33"/>
      <c r="AE26" s="35"/>
    </row>
    <row r="27" spans="2:38">
      <c r="B27" s="288" t="s">
        <v>411</v>
      </c>
      <c r="C27" s="21">
        <v>5</v>
      </c>
      <c r="D27" s="308" t="s">
        <v>335</v>
      </c>
      <c r="F27" s="55"/>
      <c r="G27" s="50"/>
      <c r="H27" s="50"/>
      <c r="I27" s="53"/>
      <c r="J27" s="33"/>
      <c r="K27" s="33"/>
      <c r="L27" s="66" t="str">
        <f ca="1">IF($G$28=L28,"▼","")</f>
        <v/>
      </c>
      <c r="M27" s="290"/>
      <c r="N27" s="66" t="str">
        <f ca="1">IF($G$28=N28,"▼","")</f>
        <v/>
      </c>
      <c r="O27" s="290"/>
      <c r="P27" s="66" t="str">
        <f ca="1">IF($G$28=P28,"▼","")</f>
        <v/>
      </c>
      <c r="Q27" s="290"/>
      <c r="R27" s="66" t="str">
        <f ca="1">IF($G$28=R28,"▼","")</f>
        <v/>
      </c>
      <c r="S27" s="290"/>
      <c r="T27" s="66" t="str">
        <f ca="1">IF($G$28=T28,"▼","")</f>
        <v/>
      </c>
      <c r="U27" s="290"/>
      <c r="V27" s="66" t="str">
        <f ca="1">IF($G$28=V28,"▼","")</f>
        <v/>
      </c>
      <c r="W27" s="67"/>
      <c r="X27" s="66" t="str">
        <f ca="1">IF($G$28=X28,"▼","")</f>
        <v/>
      </c>
      <c r="Y27" s="290"/>
      <c r="Z27" s="66" t="str">
        <f ca="1">IF($G$28=Z28,"▼","")</f>
        <v>▼</v>
      </c>
      <c r="AA27" s="290"/>
      <c r="AB27" s="66" t="str">
        <f ca="1">IF($G$28=AB28,"▼","")</f>
        <v/>
      </c>
      <c r="AC27" s="290"/>
      <c r="AD27" s="289" t="str">
        <f ca="1">IF($G$28=AD28,"▼","")</f>
        <v/>
      </c>
      <c r="AE27" s="35"/>
    </row>
    <row r="28" spans="2:38">
      <c r="F28" s="65" t="s">
        <v>58</v>
      </c>
      <c r="G28" s="68" t="str">
        <f ca="1">LOOKUP(AD25/100,INDIRECT("Col_WHE_Pa_"&amp;X16),Col_WHE_Pa_Lab)</f>
        <v>A+</v>
      </c>
      <c r="H28" s="30" t="s">
        <v>56</v>
      </c>
      <c r="I28" s="53"/>
      <c r="J28" s="33"/>
      <c r="K28" s="33"/>
      <c r="L28" s="69" t="s">
        <v>59</v>
      </c>
      <c r="M28" s="69"/>
      <c r="N28" s="69" t="s">
        <v>60</v>
      </c>
      <c r="O28" s="69"/>
      <c r="P28" s="69" t="s">
        <v>61</v>
      </c>
      <c r="Q28" s="69"/>
      <c r="R28" s="69" t="s">
        <v>62</v>
      </c>
      <c r="S28" s="69"/>
      <c r="T28" s="69" t="s">
        <v>63</v>
      </c>
      <c r="U28" s="69"/>
      <c r="V28" s="69" t="s">
        <v>64</v>
      </c>
      <c r="W28" s="70"/>
      <c r="X28" s="70" t="s">
        <v>65</v>
      </c>
      <c r="Y28" s="69"/>
      <c r="Z28" s="69" t="s">
        <v>66</v>
      </c>
      <c r="AA28" s="69"/>
      <c r="AB28" s="69" t="s">
        <v>67</v>
      </c>
      <c r="AC28" s="69"/>
      <c r="AD28" s="69" t="s">
        <v>68</v>
      </c>
      <c r="AE28" s="35"/>
    </row>
    <row r="29" spans="2:38">
      <c r="I29" s="53"/>
      <c r="J29" s="289" t="str">
        <f>IF($G$16=K29,"►","")</f>
        <v/>
      </c>
      <c r="K29" s="346" t="s">
        <v>69</v>
      </c>
      <c r="L29" s="46" t="s">
        <v>70</v>
      </c>
      <c r="M29" s="71"/>
      <c r="N29" s="46" t="s">
        <v>71</v>
      </c>
      <c r="O29" s="46"/>
      <c r="P29" s="46" t="s">
        <v>72</v>
      </c>
      <c r="Q29" s="46"/>
      <c r="R29" s="46" t="s">
        <v>73</v>
      </c>
      <c r="S29" s="46"/>
      <c r="T29" s="46" t="s">
        <v>74</v>
      </c>
      <c r="U29" s="46"/>
      <c r="V29" s="46" t="s">
        <v>75</v>
      </c>
      <c r="W29" s="288"/>
      <c r="X29" s="46" t="s">
        <v>76</v>
      </c>
      <c r="Y29" s="46"/>
      <c r="Z29" s="46" t="s">
        <v>77</v>
      </c>
      <c r="AA29" s="46"/>
      <c r="AB29" s="46" t="s">
        <v>78</v>
      </c>
      <c r="AC29" s="46"/>
      <c r="AD29" s="46" t="s">
        <v>79</v>
      </c>
      <c r="AE29" s="35"/>
    </row>
    <row r="30" spans="2:38">
      <c r="F30" s="2"/>
      <c r="G30" s="2"/>
      <c r="H30" s="2"/>
      <c r="I30" s="32"/>
      <c r="J30" s="289" t="str">
        <f t="shared" ref="J30:J32" si="0">IF($G$16=K30,"►","")</f>
        <v>►</v>
      </c>
      <c r="K30" s="347" t="s">
        <v>80</v>
      </c>
      <c r="L30" s="46" t="s">
        <v>81</v>
      </c>
      <c r="M30" s="71"/>
      <c r="N30" s="46" t="s">
        <v>71</v>
      </c>
      <c r="O30" s="46"/>
      <c r="P30" s="46" t="s">
        <v>72</v>
      </c>
      <c r="Q30" s="46"/>
      <c r="R30" s="46" t="s">
        <v>82</v>
      </c>
      <c r="S30" s="46"/>
      <c r="T30" s="46" t="s">
        <v>83</v>
      </c>
      <c r="U30" s="46"/>
      <c r="V30" s="46" t="s">
        <v>84</v>
      </c>
      <c r="W30" s="288"/>
      <c r="X30" s="46" t="s">
        <v>85</v>
      </c>
      <c r="Y30" s="46"/>
      <c r="Z30" s="46" t="s">
        <v>86</v>
      </c>
      <c r="AA30" s="46"/>
      <c r="AB30" s="46" t="s">
        <v>87</v>
      </c>
      <c r="AC30" s="46"/>
      <c r="AD30" s="46" t="s">
        <v>88</v>
      </c>
      <c r="AE30" s="35"/>
    </row>
    <row r="31" spans="2:38">
      <c r="I31" s="32"/>
      <c r="J31" s="289" t="str">
        <f t="shared" si="0"/>
        <v/>
      </c>
      <c r="K31" s="347" t="s">
        <v>89</v>
      </c>
      <c r="L31" s="46" t="s">
        <v>81</v>
      </c>
      <c r="M31" s="71"/>
      <c r="N31" s="46" t="s">
        <v>71</v>
      </c>
      <c r="O31" s="46"/>
      <c r="P31" s="46" t="s">
        <v>72</v>
      </c>
      <c r="Q31" s="46"/>
      <c r="R31" s="46" t="s">
        <v>90</v>
      </c>
      <c r="S31" s="46"/>
      <c r="T31" s="46" t="s">
        <v>91</v>
      </c>
      <c r="U31" s="46"/>
      <c r="V31" s="46" t="s">
        <v>92</v>
      </c>
      <c r="W31" s="288"/>
      <c r="X31" s="46" t="s">
        <v>93</v>
      </c>
      <c r="Y31" s="46"/>
      <c r="Z31" s="46" t="s">
        <v>94</v>
      </c>
      <c r="AA31" s="46"/>
      <c r="AB31" s="46" t="s">
        <v>95</v>
      </c>
      <c r="AC31" s="46"/>
      <c r="AD31" s="46" t="s">
        <v>96</v>
      </c>
      <c r="AE31" s="35"/>
    </row>
    <row r="32" spans="2:38">
      <c r="I32" s="32"/>
      <c r="J32" s="289" t="str">
        <f t="shared" si="0"/>
        <v/>
      </c>
      <c r="K32" s="348" t="s">
        <v>97</v>
      </c>
      <c r="L32" s="46" t="s">
        <v>98</v>
      </c>
      <c r="M32" s="71"/>
      <c r="N32" s="46" t="s">
        <v>99</v>
      </c>
      <c r="O32" s="46"/>
      <c r="P32" s="46" t="s">
        <v>100</v>
      </c>
      <c r="Q32" s="46"/>
      <c r="R32" s="46" t="s">
        <v>74</v>
      </c>
      <c r="S32" s="46"/>
      <c r="T32" s="46" t="s">
        <v>101</v>
      </c>
      <c r="U32" s="46"/>
      <c r="V32" s="46" t="s">
        <v>102</v>
      </c>
      <c r="W32" s="288"/>
      <c r="X32" s="46" t="s">
        <v>103</v>
      </c>
      <c r="Y32" s="46"/>
      <c r="Z32" s="46" t="s">
        <v>104</v>
      </c>
      <c r="AA32" s="46"/>
      <c r="AB32" s="46" t="s">
        <v>105</v>
      </c>
      <c r="AC32" s="46"/>
      <c r="AD32" s="46" t="s">
        <v>106</v>
      </c>
      <c r="AE32" s="35"/>
    </row>
    <row r="33" spans="2:42" ht="15">
      <c r="C33"/>
      <c r="D33"/>
      <c r="E33"/>
      <c r="I33" s="32"/>
      <c r="J33" s="33"/>
      <c r="K33" s="33"/>
      <c r="L33" s="33"/>
      <c r="M33" s="33"/>
      <c r="N33" s="33"/>
      <c r="O33" s="33"/>
      <c r="P33" s="33"/>
      <c r="Q33" s="33"/>
      <c r="R33" s="33"/>
      <c r="S33" s="33"/>
      <c r="T33" s="33"/>
      <c r="U33" s="33"/>
      <c r="V33" s="33"/>
      <c r="W33" s="33"/>
      <c r="X33" s="33"/>
      <c r="Y33" s="33"/>
      <c r="Z33" s="33"/>
      <c r="AA33" s="33"/>
      <c r="AB33" s="33"/>
      <c r="AC33" s="33"/>
      <c r="AD33" s="33"/>
      <c r="AE33" s="35"/>
    </row>
    <row r="34" spans="2:42">
      <c r="I34" s="32"/>
      <c r="J34" s="33" t="s">
        <v>108</v>
      </c>
      <c r="K34" s="33"/>
      <c r="L34" s="33"/>
      <c r="M34" s="33"/>
      <c r="N34" s="33"/>
      <c r="O34" s="33"/>
      <c r="P34" s="33"/>
      <c r="Q34" s="33"/>
      <c r="R34" s="33"/>
      <c r="S34" s="33"/>
      <c r="T34" s="33"/>
      <c r="U34" s="33"/>
      <c r="V34" s="33"/>
      <c r="W34" s="33"/>
      <c r="X34" s="33"/>
      <c r="Y34" s="33"/>
      <c r="Z34" s="33"/>
      <c r="AA34" s="33"/>
      <c r="AB34" s="33"/>
      <c r="AC34" s="33"/>
      <c r="AD34" s="33"/>
      <c r="AE34" s="35"/>
    </row>
    <row r="35" spans="2:42">
      <c r="E35" s="72"/>
      <c r="I35" s="32"/>
      <c r="J35" s="33"/>
      <c r="K35" s="33"/>
      <c r="L35" s="33"/>
      <c r="M35" s="33"/>
      <c r="N35" s="33"/>
      <c r="O35" s="33"/>
      <c r="V35" s="33"/>
      <c r="W35" s="33"/>
      <c r="X35" s="34" t="s">
        <v>55</v>
      </c>
      <c r="Y35" s="73"/>
      <c r="Z35" s="73"/>
      <c r="AA35" s="73"/>
      <c r="AB35" s="74" t="s">
        <v>50</v>
      </c>
      <c r="AC35" s="33"/>
      <c r="AD35" s="33"/>
      <c r="AE35" s="35"/>
    </row>
    <row r="36" spans="2:42" ht="15">
      <c r="G36"/>
      <c r="I36" s="32"/>
      <c r="J36" s="33"/>
      <c r="L36" s="33"/>
      <c r="M36" s="33"/>
      <c r="N36" s="33"/>
      <c r="O36" s="33"/>
      <c r="V36" s="46" t="s">
        <v>111</v>
      </c>
      <c r="W36" s="33"/>
      <c r="X36" s="61">
        <f>AD25</f>
        <v>132.7976384301912</v>
      </c>
      <c r="Y36" s="59" t="s">
        <v>52</v>
      </c>
      <c r="Z36" s="33" t="s">
        <v>112</v>
      </c>
      <c r="AA36" s="291" t="s">
        <v>7</v>
      </c>
      <c r="AB36" s="61">
        <f>AD22</f>
        <v>52.797638430191199</v>
      </c>
      <c r="AC36" s="75" t="s">
        <v>54</v>
      </c>
      <c r="AD36" s="61">
        <f>X36-0.2*AB36</f>
        <v>122.23811074415296</v>
      </c>
      <c r="AE36" s="35"/>
    </row>
    <row r="37" spans="2:42">
      <c r="I37" s="32"/>
      <c r="J37" s="33"/>
      <c r="L37" s="33"/>
      <c r="M37" s="33"/>
      <c r="N37" s="33"/>
      <c r="O37" s="33"/>
      <c r="V37" s="46"/>
      <c r="W37" s="33"/>
      <c r="X37" s="34" t="s">
        <v>55</v>
      </c>
      <c r="Y37" s="73"/>
      <c r="Z37" s="73"/>
      <c r="AA37" s="73"/>
      <c r="AB37" s="34" t="s">
        <v>50</v>
      </c>
      <c r="AC37" s="291"/>
      <c r="AD37" s="33"/>
      <c r="AE37" s="35"/>
    </row>
    <row r="38" spans="2:42">
      <c r="I38" s="32"/>
      <c r="J38" s="33"/>
      <c r="L38" s="33"/>
      <c r="M38" s="33"/>
      <c r="N38" s="33"/>
      <c r="O38" s="33"/>
      <c r="V38" s="46" t="s">
        <v>114</v>
      </c>
      <c r="W38" s="33"/>
      <c r="X38" s="61">
        <f>AD25</f>
        <v>132.7976384301912</v>
      </c>
      <c r="Y38" s="59" t="s">
        <v>115</v>
      </c>
      <c r="Z38" s="33" t="s">
        <v>116</v>
      </c>
      <c r="AA38" s="291" t="s">
        <v>7</v>
      </c>
      <c r="AB38" s="61">
        <f>AD22</f>
        <v>52.797638430191199</v>
      </c>
      <c r="AC38" s="75" t="s">
        <v>54</v>
      </c>
      <c r="AD38" s="61">
        <f>X38+0.2*AB38</f>
        <v>143.35716611622945</v>
      </c>
      <c r="AE38" s="35"/>
    </row>
    <row r="39" spans="2:42" ht="13.5" thickBot="1">
      <c r="I39" s="76"/>
      <c r="J39" s="77"/>
      <c r="K39" s="77"/>
      <c r="L39" s="77"/>
      <c r="M39" s="77"/>
      <c r="N39" s="77"/>
      <c r="O39" s="77"/>
      <c r="P39" s="77"/>
      <c r="Q39" s="77"/>
      <c r="R39" s="77"/>
      <c r="S39" s="77"/>
      <c r="T39" s="77"/>
      <c r="U39" s="77"/>
      <c r="V39" s="77"/>
      <c r="W39" s="77"/>
      <c r="X39" s="77"/>
      <c r="Y39" s="77"/>
      <c r="Z39" s="77"/>
      <c r="AA39" s="77"/>
      <c r="AB39" s="77"/>
      <c r="AC39" s="77"/>
      <c r="AD39" s="77"/>
      <c r="AE39" s="78"/>
    </row>
    <row r="40" spans="2:42" ht="15">
      <c r="AG40"/>
      <c r="AH40"/>
      <c r="AI40"/>
      <c r="AJ40"/>
      <c r="AK40"/>
      <c r="AL40"/>
      <c r="AM40"/>
      <c r="AN40"/>
      <c r="AO40"/>
      <c r="AP40"/>
    </row>
    <row r="41" spans="2:42" ht="15">
      <c r="AG41"/>
      <c r="AH41"/>
      <c r="AI41"/>
      <c r="AJ41"/>
      <c r="AK41"/>
      <c r="AL41"/>
      <c r="AM41"/>
      <c r="AN41"/>
      <c r="AO41"/>
      <c r="AP41"/>
    </row>
    <row r="42" spans="2:42" ht="15">
      <c r="AG42"/>
      <c r="AH42"/>
      <c r="AI42"/>
      <c r="AJ42"/>
      <c r="AK42"/>
      <c r="AL42"/>
      <c r="AM42"/>
      <c r="AN42"/>
      <c r="AO42"/>
      <c r="AP42"/>
    </row>
    <row r="43" spans="2:42" ht="15">
      <c r="AG43"/>
      <c r="AH43"/>
      <c r="AI43"/>
      <c r="AJ43"/>
      <c r="AK43"/>
      <c r="AL43"/>
      <c r="AM43"/>
      <c r="AN43"/>
      <c r="AO43"/>
      <c r="AP43"/>
    </row>
    <row r="44" spans="2:42" ht="15">
      <c r="B44" s="253" t="s">
        <v>432</v>
      </c>
      <c r="C44" s="79"/>
      <c r="D44" s="79"/>
      <c r="AG44"/>
      <c r="AH44"/>
      <c r="AI44"/>
      <c r="AJ44"/>
      <c r="AK44"/>
      <c r="AL44"/>
      <c r="AM44"/>
      <c r="AN44"/>
      <c r="AO44"/>
      <c r="AP44"/>
    </row>
    <row r="45" spans="2:42" ht="15">
      <c r="B45" s="79" t="s">
        <v>420</v>
      </c>
      <c r="C45" s="79"/>
      <c r="D45" s="79"/>
      <c r="F45" s="293"/>
      <c r="AG45"/>
      <c r="AH45"/>
      <c r="AI45"/>
      <c r="AJ45"/>
      <c r="AK45"/>
      <c r="AL45"/>
      <c r="AM45"/>
      <c r="AN45"/>
      <c r="AO45"/>
      <c r="AP45"/>
    </row>
    <row r="46" spans="2:42" ht="15">
      <c r="B46" s="304">
        <v>0</v>
      </c>
      <c r="C46" s="79"/>
      <c r="D46" s="304"/>
      <c r="F46" s="293"/>
      <c r="AG46"/>
      <c r="AH46"/>
      <c r="AI46"/>
      <c r="AJ46"/>
      <c r="AK46"/>
      <c r="AL46"/>
      <c r="AM46"/>
      <c r="AN46"/>
      <c r="AO46"/>
      <c r="AP46"/>
    </row>
    <row r="47" spans="2:42" ht="15">
      <c r="B47" s="304">
        <v>0.1</v>
      </c>
      <c r="C47" s="79"/>
      <c r="D47" s="305"/>
      <c r="F47" s="293"/>
      <c r="AG47"/>
      <c r="AH47"/>
      <c r="AI47"/>
      <c r="AJ47"/>
      <c r="AK47"/>
      <c r="AL47"/>
      <c r="AM47"/>
      <c r="AN47"/>
      <c r="AO47"/>
      <c r="AP47"/>
    </row>
    <row r="48" spans="2:42" ht="15">
      <c r="B48" s="304">
        <v>0.2</v>
      </c>
      <c r="C48" s="79"/>
      <c r="D48" s="305"/>
      <c r="F48" s="293"/>
      <c r="AG48"/>
      <c r="AH48"/>
      <c r="AI48"/>
      <c r="AJ48"/>
      <c r="AK48"/>
      <c r="AL48"/>
      <c r="AM48"/>
      <c r="AN48"/>
      <c r="AO48"/>
      <c r="AP48"/>
    </row>
    <row r="49" spans="2:42" ht="15">
      <c r="B49" s="293">
        <v>0.3</v>
      </c>
      <c r="C49" s="79"/>
      <c r="D49" s="305"/>
      <c r="F49" s="293"/>
      <c r="AG49"/>
      <c r="AH49"/>
      <c r="AI49"/>
      <c r="AJ49"/>
      <c r="AK49"/>
      <c r="AL49"/>
      <c r="AM49"/>
      <c r="AN49"/>
      <c r="AO49"/>
      <c r="AP49"/>
    </row>
    <row r="50" spans="2:42" ht="15">
      <c r="B50" s="293">
        <v>0.4</v>
      </c>
      <c r="C50" s="79"/>
      <c r="D50" s="305"/>
      <c r="F50" s="293"/>
      <c r="AG50"/>
      <c r="AH50"/>
      <c r="AI50"/>
      <c r="AJ50"/>
      <c r="AK50"/>
      <c r="AL50"/>
      <c r="AM50"/>
      <c r="AN50"/>
      <c r="AO50"/>
      <c r="AP50"/>
    </row>
    <row r="51" spans="2:42" ht="15">
      <c r="B51" s="293">
        <v>0.5</v>
      </c>
      <c r="C51" s="79"/>
      <c r="D51" s="305"/>
      <c r="AG51"/>
      <c r="AH51"/>
      <c r="AI51"/>
      <c r="AJ51"/>
      <c r="AK51"/>
      <c r="AL51"/>
      <c r="AM51"/>
      <c r="AN51"/>
      <c r="AO51"/>
      <c r="AP51"/>
    </row>
    <row r="52" spans="2:42" ht="15">
      <c r="B52" s="293">
        <v>0.6</v>
      </c>
      <c r="C52" s="79"/>
      <c r="D52" s="305"/>
      <c r="AG52"/>
      <c r="AH52"/>
      <c r="AI52"/>
      <c r="AJ52"/>
      <c r="AK52"/>
      <c r="AL52"/>
      <c r="AM52"/>
      <c r="AN52"/>
      <c r="AO52"/>
      <c r="AP52"/>
    </row>
    <row r="53" spans="2:42" ht="15">
      <c r="B53" s="293">
        <v>0.7</v>
      </c>
      <c r="C53" s="79"/>
      <c r="D53" s="305"/>
      <c r="E53"/>
      <c r="F53"/>
      <c r="G53"/>
      <c r="AG53"/>
      <c r="AH53"/>
      <c r="AI53"/>
      <c r="AJ53"/>
      <c r="AK53"/>
      <c r="AL53"/>
      <c r="AM53"/>
      <c r="AN53"/>
      <c r="AO53"/>
      <c r="AP53"/>
    </row>
    <row r="54" spans="2:42" ht="15">
      <c r="B54" s="293">
        <v>0.8</v>
      </c>
      <c r="C54" s="79"/>
      <c r="D54" s="305"/>
      <c r="E54"/>
      <c r="F54"/>
      <c r="G54"/>
      <c r="AG54" t="s">
        <v>471</v>
      </c>
      <c r="AH54"/>
      <c r="AI54"/>
      <c r="AJ54"/>
      <c r="AK54"/>
      <c r="AL54"/>
      <c r="AM54"/>
      <c r="AN54"/>
      <c r="AO54"/>
      <c r="AP54"/>
    </row>
    <row r="55" spans="2:42" ht="15">
      <c r="B55"/>
      <c r="C55"/>
      <c r="D55"/>
      <c r="E55"/>
      <c r="F55"/>
      <c r="G55"/>
      <c r="AG55" s="369" t="s">
        <v>494</v>
      </c>
      <c r="AH55"/>
      <c r="AI55"/>
      <c r="AJ55"/>
      <c r="AK55"/>
      <c r="AL55"/>
      <c r="AM55"/>
      <c r="AN55"/>
      <c r="AO55"/>
      <c r="AP55"/>
    </row>
    <row r="56" spans="2:42" ht="15">
      <c r="B56"/>
      <c r="C56"/>
      <c r="D56"/>
      <c r="E56"/>
      <c r="F56"/>
      <c r="G56"/>
      <c r="AG56" s="369" t="s">
        <v>498</v>
      </c>
      <c r="AH56"/>
      <c r="AI56"/>
      <c r="AJ56"/>
      <c r="AK56"/>
      <c r="AL56"/>
      <c r="AM56"/>
      <c r="AN56"/>
      <c r="AO56"/>
      <c r="AP56"/>
    </row>
    <row r="57" spans="2:42" ht="15">
      <c r="B57"/>
      <c r="C57"/>
      <c r="D57"/>
      <c r="E57"/>
      <c r="F57"/>
      <c r="G57"/>
      <c r="AG57"/>
      <c r="AH57"/>
      <c r="AI57"/>
      <c r="AJ57"/>
      <c r="AK57"/>
      <c r="AL57"/>
      <c r="AM57"/>
      <c r="AN57"/>
      <c r="AO57"/>
      <c r="AP57"/>
    </row>
    <row r="58" spans="2:42" ht="15">
      <c r="B58"/>
      <c r="C58"/>
      <c r="D58"/>
      <c r="E58"/>
      <c r="F58"/>
      <c r="G58"/>
      <c r="AG58"/>
      <c r="AH58"/>
      <c r="AI58"/>
      <c r="AJ58"/>
      <c r="AK58"/>
      <c r="AL58"/>
      <c r="AM58"/>
      <c r="AN58"/>
      <c r="AO58"/>
      <c r="AP58"/>
    </row>
    <row r="59" spans="2:42" ht="15">
      <c r="B59"/>
      <c r="C59"/>
      <c r="D59"/>
      <c r="E59"/>
      <c r="F59"/>
      <c r="G59"/>
      <c r="AG59"/>
      <c r="AH59"/>
      <c r="AI59"/>
      <c r="AJ59"/>
      <c r="AK59"/>
      <c r="AL59"/>
      <c r="AM59"/>
      <c r="AN59"/>
      <c r="AO59"/>
      <c r="AP59"/>
    </row>
    <row r="60" spans="2:42" ht="15">
      <c r="B60"/>
      <c r="C60"/>
      <c r="D60"/>
      <c r="E60"/>
      <c r="F60"/>
      <c r="G60"/>
      <c r="AG60"/>
      <c r="AH60"/>
      <c r="AI60"/>
      <c r="AJ60"/>
      <c r="AK60"/>
      <c r="AL60"/>
      <c r="AM60"/>
      <c r="AN60"/>
      <c r="AO60"/>
      <c r="AP60"/>
    </row>
    <row r="61" spans="2:42" ht="15">
      <c r="B61"/>
      <c r="C61"/>
      <c r="D61"/>
      <c r="E61"/>
      <c r="F61"/>
      <c r="G61"/>
      <c r="AG61"/>
      <c r="AH61"/>
      <c r="AI61"/>
      <c r="AJ61"/>
      <c r="AK61"/>
      <c r="AL61"/>
      <c r="AM61"/>
      <c r="AN61"/>
      <c r="AO61"/>
      <c r="AP61"/>
    </row>
    <row r="62" spans="2:42" ht="15">
      <c r="B62"/>
      <c r="C62"/>
      <c r="D62"/>
      <c r="E62"/>
      <c r="F62"/>
      <c r="G62"/>
      <c r="AG62"/>
      <c r="AH62"/>
      <c r="AI62"/>
      <c r="AJ62"/>
      <c r="AK62"/>
      <c r="AL62"/>
      <c r="AM62"/>
      <c r="AN62"/>
      <c r="AO62"/>
      <c r="AP62"/>
    </row>
    <row r="63" spans="2:42" ht="15">
      <c r="F63" s="90"/>
      <c r="AG63"/>
      <c r="AH63"/>
      <c r="AI63"/>
      <c r="AJ63"/>
      <c r="AK63"/>
      <c r="AL63"/>
      <c r="AM63"/>
      <c r="AN63"/>
      <c r="AO63"/>
      <c r="AP63"/>
    </row>
    <row r="64" spans="2:42" ht="15">
      <c r="F64" s="90"/>
      <c r="AG64"/>
      <c r="AH64"/>
      <c r="AI64"/>
      <c r="AJ64"/>
      <c r="AK64"/>
      <c r="AL64"/>
      <c r="AM64"/>
      <c r="AN64"/>
      <c r="AO64"/>
      <c r="AP64"/>
    </row>
    <row r="65" spans="33:42" ht="15">
      <c r="AG65"/>
      <c r="AH65"/>
      <c r="AI65"/>
      <c r="AJ65"/>
      <c r="AK65"/>
      <c r="AL65"/>
      <c r="AM65"/>
      <c r="AN65"/>
      <c r="AO65"/>
      <c r="AP65"/>
    </row>
    <row r="66" spans="33:42" ht="15">
      <c r="AG66"/>
      <c r="AH66"/>
      <c r="AI66"/>
      <c r="AJ66"/>
      <c r="AK66"/>
      <c r="AL66"/>
      <c r="AM66"/>
      <c r="AN66"/>
      <c r="AO66"/>
      <c r="AP66"/>
    </row>
    <row r="67" spans="33:42" ht="15">
      <c r="AG67"/>
      <c r="AH67"/>
      <c r="AI67"/>
      <c r="AJ67"/>
      <c r="AK67"/>
      <c r="AL67"/>
      <c r="AM67"/>
      <c r="AN67"/>
      <c r="AO67"/>
      <c r="AP67"/>
    </row>
    <row r="68" spans="33:42" ht="15">
      <c r="AG68"/>
      <c r="AH68"/>
      <c r="AI68"/>
      <c r="AJ68"/>
      <c r="AK68"/>
      <c r="AL68"/>
      <c r="AM68"/>
      <c r="AN68"/>
      <c r="AO68"/>
      <c r="AP68"/>
    </row>
    <row r="69" spans="33:42" ht="15">
      <c r="AG69"/>
      <c r="AH69"/>
      <c r="AI69"/>
      <c r="AJ69"/>
      <c r="AK69"/>
      <c r="AL69"/>
      <c r="AM69"/>
      <c r="AN69"/>
      <c r="AO69"/>
      <c r="AP69"/>
    </row>
    <row r="70" spans="33:42" ht="15">
      <c r="AG70"/>
      <c r="AH70"/>
      <c r="AI70"/>
      <c r="AJ70"/>
      <c r="AK70"/>
      <c r="AL70"/>
      <c r="AM70"/>
      <c r="AN70"/>
      <c r="AO70"/>
      <c r="AP70"/>
    </row>
    <row r="71" spans="33:42" ht="15">
      <c r="AG71"/>
      <c r="AH71"/>
      <c r="AI71"/>
      <c r="AJ71"/>
      <c r="AK71"/>
      <c r="AL71"/>
      <c r="AM71"/>
      <c r="AN71"/>
      <c r="AO71"/>
      <c r="AP71"/>
    </row>
    <row r="72" spans="33:42" ht="15">
      <c r="AG72"/>
      <c r="AH72"/>
      <c r="AI72"/>
      <c r="AJ72"/>
      <c r="AK72"/>
      <c r="AL72"/>
      <c r="AM72"/>
      <c r="AN72"/>
      <c r="AO72"/>
      <c r="AP72"/>
    </row>
    <row r="73" spans="33:42" ht="15">
      <c r="AG73"/>
      <c r="AH73"/>
      <c r="AI73"/>
      <c r="AJ73"/>
      <c r="AK73"/>
      <c r="AL73"/>
      <c r="AM73"/>
      <c r="AN73"/>
      <c r="AO73"/>
      <c r="AP73"/>
    </row>
    <row r="74" spans="33:42" ht="15">
      <c r="AG74"/>
      <c r="AH74"/>
      <c r="AI74"/>
      <c r="AJ74"/>
      <c r="AK74"/>
      <c r="AL74"/>
      <c r="AM74"/>
      <c r="AN74"/>
      <c r="AO74"/>
      <c r="AP74"/>
    </row>
    <row r="75" spans="33:42" ht="15">
      <c r="AG75"/>
      <c r="AH75"/>
      <c r="AI75"/>
      <c r="AJ75"/>
      <c r="AK75"/>
      <c r="AL75"/>
      <c r="AM75"/>
      <c r="AN75"/>
      <c r="AO75"/>
      <c r="AP75"/>
    </row>
    <row r="76" spans="33:42" ht="15">
      <c r="AG76"/>
      <c r="AH76"/>
      <c r="AI76"/>
      <c r="AJ76"/>
      <c r="AK76"/>
      <c r="AL76"/>
      <c r="AM76"/>
      <c r="AN76"/>
      <c r="AO76"/>
      <c r="AP76"/>
    </row>
    <row r="77" spans="33:42" ht="15">
      <c r="AG77"/>
      <c r="AH77"/>
      <c r="AI77"/>
      <c r="AJ77"/>
      <c r="AK77"/>
      <c r="AL77"/>
      <c r="AM77"/>
      <c r="AN77"/>
      <c r="AO77"/>
      <c r="AP77"/>
    </row>
    <row r="78" spans="33:42" ht="15">
      <c r="AG78"/>
      <c r="AH78"/>
      <c r="AI78"/>
      <c r="AJ78"/>
      <c r="AK78"/>
      <c r="AL78"/>
      <c r="AM78"/>
      <c r="AN78"/>
      <c r="AO78"/>
      <c r="AP78"/>
    </row>
    <row r="79" spans="33:42" ht="15">
      <c r="AG79"/>
      <c r="AH79"/>
      <c r="AI79"/>
      <c r="AJ79"/>
      <c r="AK79"/>
      <c r="AL79"/>
      <c r="AM79"/>
      <c r="AN79"/>
      <c r="AO79"/>
      <c r="AP79"/>
    </row>
    <row r="80" spans="33:42" ht="15">
      <c r="AG80"/>
      <c r="AH80"/>
      <c r="AI80"/>
      <c r="AJ80"/>
      <c r="AK80"/>
      <c r="AL80"/>
      <c r="AM80"/>
      <c r="AN80"/>
      <c r="AO80"/>
      <c r="AP80"/>
    </row>
    <row r="81" spans="33:42" ht="15">
      <c r="AG81"/>
      <c r="AH81"/>
      <c r="AI81"/>
      <c r="AJ81"/>
      <c r="AK81"/>
      <c r="AL81"/>
      <c r="AM81"/>
      <c r="AN81"/>
      <c r="AO81"/>
      <c r="AP81"/>
    </row>
    <row r="82" spans="33:42" ht="15">
      <c r="AG82"/>
      <c r="AH82"/>
      <c r="AI82"/>
      <c r="AJ82"/>
      <c r="AK82"/>
      <c r="AL82"/>
      <c r="AM82"/>
      <c r="AN82"/>
      <c r="AO82"/>
      <c r="AP82"/>
    </row>
  </sheetData>
  <mergeCells count="3">
    <mergeCell ref="AD1:AE1"/>
    <mergeCell ref="B7:C7"/>
    <mergeCell ref="B14:C14"/>
  </mergeCells>
  <dataValidations disablePrompts="1" count="2">
    <dataValidation type="list" allowBlank="1" showInputMessage="1" showErrorMessage="1" sqref="B14:C14">
      <formula1>lst_Waterheaters</formula1>
    </dataValidation>
    <dataValidation type="list" allowBlank="1" showInputMessage="1" showErrorMessage="1" sqref="C22">
      <formula1>$B$46:$B$54</formula1>
    </dataValidation>
  </dataValidations>
  <hyperlinks>
    <hyperlink ref="B1" location="Index!A1" display="Back to index"/>
  </hyperlinks>
  <pageMargins left="0.7" right="0.7" top="0.75" bottom="0.75" header="0.3" footer="0.3"/>
  <pageSetup paperSize="9" scale="93" orientation="portrait" horizontalDpi="0" verticalDpi="0"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B1:AB91"/>
  <sheetViews>
    <sheetView showGridLines="0" zoomScale="80" zoomScaleNormal="80" workbookViewId="0"/>
  </sheetViews>
  <sheetFormatPr defaultRowHeight="12.75"/>
  <cols>
    <col min="1" max="1" width="4.7109375" style="79" customWidth="1"/>
    <col min="2" max="2" width="24.42578125" style="79" customWidth="1"/>
    <col min="3" max="6" width="6.85546875" style="79" customWidth="1"/>
    <col min="7" max="7" width="4.28515625" style="79" customWidth="1"/>
    <col min="8" max="8" width="2.28515625" style="79" customWidth="1"/>
    <col min="9" max="9" width="9.140625" style="79"/>
    <col min="10" max="10" width="34" style="79" customWidth="1"/>
    <col min="11" max="11" width="9.5703125" style="79" customWidth="1"/>
    <col min="12" max="12" width="1" style="79" customWidth="1"/>
    <col min="13" max="15" width="9.140625" style="79"/>
    <col min="16" max="16" width="9.28515625" style="79" customWidth="1"/>
    <col min="17" max="17" width="12.42578125" style="79" customWidth="1"/>
    <col min="18" max="18" width="9.140625" style="248"/>
    <col min="19" max="19" width="2.85546875" style="79" customWidth="1"/>
    <col min="20" max="20" width="27.42578125" style="79" customWidth="1"/>
    <col min="21" max="22" width="12.140625" style="79" customWidth="1"/>
    <col min="23" max="24" width="9.140625" style="79"/>
    <col min="25" max="25" width="9.85546875" style="79" customWidth="1"/>
    <col min="26" max="26" width="9.140625" style="79"/>
    <col min="27" max="27" width="10.7109375" style="79" bestFit="1" customWidth="1"/>
    <col min="28" max="40" width="9.140625" style="79"/>
    <col min="41" max="41" width="5.28515625" style="79" customWidth="1"/>
    <col min="42" max="16384" width="9.140625" style="79"/>
  </cols>
  <sheetData>
    <row r="1" spans="2:25" ht="15">
      <c r="B1" s="225" t="s">
        <v>312</v>
      </c>
      <c r="C1" s="225"/>
      <c r="D1" s="225"/>
      <c r="E1" s="225"/>
      <c r="F1" s="225"/>
      <c r="I1" s="79" t="s">
        <v>13</v>
      </c>
      <c r="J1" s="79" t="s">
        <v>314</v>
      </c>
      <c r="Q1" s="395">
        <v>41341</v>
      </c>
      <c r="R1" s="396"/>
    </row>
    <row r="2" spans="2:25">
      <c r="I2" s="79" t="s">
        <v>15</v>
      </c>
      <c r="J2" s="79" t="s">
        <v>349</v>
      </c>
      <c r="Q2" s="56"/>
      <c r="R2" s="56" t="s">
        <v>17</v>
      </c>
    </row>
    <row r="3" spans="2:25">
      <c r="I3" s="79" t="s">
        <v>18</v>
      </c>
      <c r="J3" s="79" t="s">
        <v>19</v>
      </c>
      <c r="Q3" s="227"/>
      <c r="R3" s="227" t="s">
        <v>20</v>
      </c>
    </row>
    <row r="4" spans="2:25">
      <c r="B4" s="329" t="s">
        <v>21</v>
      </c>
      <c r="C4" s="329"/>
      <c r="D4" s="329"/>
      <c r="E4" s="329"/>
      <c r="F4" s="329"/>
      <c r="G4" s="230"/>
      <c r="I4" s="229" t="s">
        <v>22</v>
      </c>
      <c r="J4" s="229" t="s">
        <v>350</v>
      </c>
      <c r="K4" s="229"/>
      <c r="L4" s="229"/>
      <c r="M4" s="229"/>
      <c r="N4" s="229"/>
      <c r="O4" s="229"/>
      <c r="P4" s="230"/>
      <c r="Q4" s="231"/>
      <c r="R4" s="231" t="s">
        <v>493</v>
      </c>
      <c r="T4" s="397" t="s">
        <v>430</v>
      </c>
      <c r="U4" s="397"/>
      <c r="V4" s="397"/>
      <c r="W4" s="397"/>
      <c r="X4" s="397"/>
      <c r="Y4" s="397"/>
    </row>
    <row r="6" spans="2:25">
      <c r="T6" s="79" t="s">
        <v>26</v>
      </c>
    </row>
    <row r="7" spans="2:25" ht="15">
      <c r="I7" s="398" t="s">
        <v>428</v>
      </c>
      <c r="J7" s="398"/>
      <c r="K7" s="398"/>
      <c r="L7" s="398"/>
      <c r="M7" s="398"/>
      <c r="N7" s="398"/>
      <c r="O7" s="398"/>
      <c r="P7" s="398"/>
      <c r="Q7" s="396"/>
      <c r="R7" s="396"/>
      <c r="T7" s="232" t="s">
        <v>429</v>
      </c>
    </row>
    <row r="10" spans="2:25">
      <c r="I10" s="235" t="s">
        <v>316</v>
      </c>
      <c r="J10" s="236" t="s">
        <v>317</v>
      </c>
      <c r="K10" s="399" t="s">
        <v>318</v>
      </c>
      <c r="L10" s="400"/>
      <c r="M10" s="400"/>
      <c r="N10" s="400"/>
      <c r="O10" s="400"/>
      <c r="P10" s="400"/>
      <c r="Q10" s="401"/>
      <c r="R10" s="255" t="s">
        <v>316</v>
      </c>
      <c r="T10" s="240" t="s">
        <v>431</v>
      </c>
    </row>
    <row r="11" spans="2:25" ht="15">
      <c r="B11"/>
      <c r="C11"/>
      <c r="D11"/>
      <c r="E11"/>
      <c r="F11"/>
      <c r="T11" s="241" t="s">
        <v>27</v>
      </c>
      <c r="V11" s="92"/>
    </row>
    <row r="12" spans="2:25" ht="15">
      <c r="B12"/>
      <c r="C12"/>
      <c r="D12"/>
      <c r="E12"/>
      <c r="F12"/>
      <c r="G12"/>
      <c r="H12"/>
      <c r="I12" s="242" t="s">
        <v>320</v>
      </c>
      <c r="J12" s="79" t="s">
        <v>321</v>
      </c>
      <c r="K12" s="390"/>
      <c r="L12" s="391"/>
      <c r="M12" s="391"/>
      <c r="N12" s="391"/>
      <c r="O12" s="391"/>
      <c r="P12" s="392"/>
      <c r="Q12" s="256"/>
      <c r="R12" s="257"/>
      <c r="T12" s="241" t="s">
        <v>28</v>
      </c>
      <c r="V12" s="243"/>
      <c r="W12" s="79" t="s">
        <v>29</v>
      </c>
    </row>
    <row r="13" spans="2:25" ht="15">
      <c r="G13"/>
      <c r="H13"/>
      <c r="I13" s="242" t="s">
        <v>322</v>
      </c>
      <c r="J13" s="79" t="s">
        <v>323</v>
      </c>
      <c r="K13" s="390"/>
      <c r="L13" s="391"/>
      <c r="M13" s="391"/>
      <c r="N13" s="391"/>
      <c r="O13" s="391"/>
      <c r="P13" s="392"/>
      <c r="Q13" s="256"/>
      <c r="R13" s="257"/>
      <c r="T13" s="244" t="s">
        <v>30</v>
      </c>
      <c r="U13" s="233"/>
      <c r="V13" s="258"/>
      <c r="W13" s="79" t="s">
        <v>29</v>
      </c>
    </row>
    <row r="14" spans="2:25" ht="15">
      <c r="B14" s="370" t="s">
        <v>416</v>
      </c>
      <c r="G14"/>
      <c r="H14"/>
      <c r="I14" s="242" t="s">
        <v>324</v>
      </c>
      <c r="J14" s="79" t="s">
        <v>42</v>
      </c>
      <c r="K14" s="259" t="s">
        <v>80</v>
      </c>
      <c r="L14" s="260"/>
      <c r="R14" s="248" t="s">
        <v>351</v>
      </c>
      <c r="T14" s="244" t="s">
        <v>34</v>
      </c>
      <c r="U14" s="233"/>
      <c r="V14" s="249"/>
      <c r="W14" s="79" t="s">
        <v>29</v>
      </c>
    </row>
    <row r="15" spans="2:25" ht="15">
      <c r="B15" s="62" t="s">
        <v>496</v>
      </c>
      <c r="C15" s="300"/>
      <c r="D15" s="300"/>
      <c r="E15" s="300"/>
      <c r="F15" s="300"/>
      <c r="G15"/>
      <c r="H15"/>
      <c r="I15" s="242"/>
      <c r="L15" s="260"/>
      <c r="T15" s="241" t="s">
        <v>40</v>
      </c>
      <c r="U15" s="233"/>
      <c r="V15" s="250"/>
      <c r="W15" s="79" t="s">
        <v>29</v>
      </c>
    </row>
    <row r="16" spans="2:25" ht="15">
      <c r="B16" s="327" t="s">
        <v>497</v>
      </c>
      <c r="C16" s="3"/>
      <c r="D16" s="3"/>
      <c r="E16" s="3"/>
      <c r="F16" s="3"/>
      <c r="G16"/>
      <c r="H16"/>
      <c r="I16" s="242" t="s">
        <v>325</v>
      </c>
      <c r="J16" s="79" t="s">
        <v>352</v>
      </c>
      <c r="K16" s="261" t="str">
        <f ca="1">LOOKUP(K19,INDIRECT("Col_WHE_Pr_"&amp;K14),Col_WHE_Pr_Lab)</f>
        <v>B</v>
      </c>
      <c r="L16" s="260"/>
      <c r="R16" s="248" t="s">
        <v>353</v>
      </c>
      <c r="T16" s="233"/>
    </row>
    <row r="17" spans="2:20" ht="15">
      <c r="B17"/>
      <c r="C17"/>
      <c r="D17" s="3"/>
      <c r="E17" s="3"/>
      <c r="F17" s="52" t="s">
        <v>44</v>
      </c>
      <c r="G17"/>
      <c r="H17"/>
      <c r="I17" s="242"/>
      <c r="K17" s="260"/>
      <c r="L17" s="260"/>
      <c r="M17" s="296"/>
      <c r="N17" s="297"/>
      <c r="O17" s="297"/>
      <c r="P17" s="297"/>
    </row>
    <row r="18" spans="2:20" ht="15">
      <c r="B18" s="62" t="s">
        <v>427</v>
      </c>
      <c r="C18" s="3"/>
      <c r="D18" s="3"/>
      <c r="E18" s="3"/>
      <c r="F18" s="56" t="s">
        <v>47</v>
      </c>
      <c r="G18"/>
      <c r="H18"/>
      <c r="J18" s="79" t="s">
        <v>354</v>
      </c>
      <c r="M18" s="393" t="s">
        <v>417</v>
      </c>
      <c r="N18" s="394"/>
      <c r="O18" s="394"/>
      <c r="P18" s="394"/>
      <c r="Q18" s="262"/>
      <c r="T18" s="251"/>
    </row>
    <row r="19" spans="2:20" ht="15">
      <c r="B19" s="295" t="s">
        <v>410</v>
      </c>
      <c r="C19" s="294">
        <v>0.5</v>
      </c>
      <c r="D19" s="37"/>
      <c r="E19" s="37"/>
      <c r="F19" s="309">
        <f>(1-C19)*C20</f>
        <v>1399.4010000000001</v>
      </c>
      <c r="G19" s="246" t="s">
        <v>36</v>
      </c>
      <c r="H19"/>
      <c r="I19" s="242" t="s">
        <v>327</v>
      </c>
      <c r="J19" s="227" t="s">
        <v>356</v>
      </c>
      <c r="K19" s="263">
        <f>C20/( F19/(1.1*C22-0.1)+(K38*2000+K39*24*365)/1000)</f>
        <v>0.66170454901039089</v>
      </c>
      <c r="L19" s="264"/>
      <c r="M19" s="302"/>
      <c r="N19" s="302"/>
      <c r="O19" s="302"/>
      <c r="P19" s="302"/>
      <c r="Q19" s="253" t="s">
        <v>52</v>
      </c>
      <c r="R19" s="248" t="s">
        <v>357</v>
      </c>
    </row>
    <row r="20" spans="2:20" ht="15">
      <c r="B20" s="295" t="s">
        <v>412</v>
      </c>
      <c r="C20" s="64">
        <f>(HLOOKUP(K14,dbf_Qref,2,FALSE)+1.09)*366*0.6</f>
        <v>2798.8020000000001</v>
      </c>
      <c r="D20" s="298" t="s">
        <v>415</v>
      </c>
      <c r="E20" s="62"/>
      <c r="F20" s="3"/>
      <c r="G20"/>
      <c r="H20"/>
      <c r="I20" s="242" t="s">
        <v>358</v>
      </c>
      <c r="J20" s="227" t="s">
        <v>359</v>
      </c>
      <c r="K20" s="301"/>
      <c r="L20" s="265"/>
      <c r="M20" s="302"/>
      <c r="N20" s="302"/>
      <c r="O20" s="302"/>
      <c r="P20" s="302"/>
      <c r="Q20" s="253" t="s">
        <v>52</v>
      </c>
      <c r="R20" s="248" t="s">
        <v>357</v>
      </c>
    </row>
    <row r="21" spans="2:20" ht="15">
      <c r="C21" s="3"/>
      <c r="D21" s="298"/>
      <c r="E21"/>
      <c r="F21" s="3"/>
      <c r="G21"/>
      <c r="H21"/>
      <c r="I21" s="242" t="s">
        <v>358</v>
      </c>
      <c r="J21" s="227" t="s">
        <v>360</v>
      </c>
      <c r="K21" s="301"/>
      <c r="L21" s="265"/>
      <c r="M21" s="302"/>
      <c r="N21" s="302"/>
      <c r="O21" s="302"/>
      <c r="P21" s="302"/>
      <c r="Q21" s="253" t="s">
        <v>52</v>
      </c>
      <c r="R21" s="248" t="s">
        <v>357</v>
      </c>
    </row>
    <row r="22" spans="2:20" ht="15">
      <c r="B22" s="303" t="s">
        <v>419</v>
      </c>
      <c r="C22" s="306">
        <v>0.4</v>
      </c>
      <c r="D22"/>
      <c r="E22"/>
      <c r="F22"/>
      <c r="G22"/>
      <c r="H22"/>
      <c r="I22" s="242" t="s">
        <v>328</v>
      </c>
      <c r="J22" s="79" t="s">
        <v>361</v>
      </c>
      <c r="L22" s="251"/>
    </row>
    <row r="23" spans="2:20" ht="15">
      <c r="B23" s="307" t="s">
        <v>421</v>
      </c>
      <c r="C23"/>
      <c r="D23"/>
      <c r="E23" s="3"/>
      <c r="F23" s="55"/>
      <c r="G23"/>
      <c r="H23"/>
      <c r="I23" s="242" t="s">
        <v>362</v>
      </c>
      <c r="J23" s="227" t="s">
        <v>356</v>
      </c>
      <c r="K23" s="92"/>
      <c r="L23" s="265"/>
      <c r="M23" s="92"/>
      <c r="N23" s="92"/>
      <c r="O23" s="92"/>
      <c r="P23" s="92"/>
      <c r="Q23" s="79" t="s">
        <v>363</v>
      </c>
      <c r="R23" s="248" t="s">
        <v>364</v>
      </c>
    </row>
    <row r="24" spans="2:20" ht="15">
      <c r="G24"/>
      <c r="H24"/>
      <c r="I24" s="242" t="s">
        <v>362</v>
      </c>
      <c r="J24" s="227" t="s">
        <v>359</v>
      </c>
      <c r="K24" s="92"/>
      <c r="L24" s="265"/>
      <c r="M24" s="92"/>
      <c r="N24" s="92"/>
      <c r="O24" s="92"/>
      <c r="P24" s="92"/>
      <c r="Q24" s="79" t="s">
        <v>363</v>
      </c>
      <c r="R24" s="248" t="s">
        <v>364</v>
      </c>
    </row>
    <row r="25" spans="2:20" ht="15">
      <c r="G25"/>
      <c r="H25"/>
      <c r="I25" s="242"/>
      <c r="J25" s="227" t="s">
        <v>360</v>
      </c>
      <c r="K25" s="92"/>
      <c r="L25" s="265"/>
      <c r="M25" s="92"/>
      <c r="N25" s="92"/>
      <c r="O25" s="92"/>
      <c r="P25" s="92"/>
      <c r="Q25" s="79" t="s">
        <v>363</v>
      </c>
      <c r="R25" s="248" t="s">
        <v>364</v>
      </c>
    </row>
    <row r="26" spans="2:20" ht="15">
      <c r="G26"/>
      <c r="H26"/>
      <c r="I26" s="242"/>
    </row>
    <row r="27" spans="2:20" ht="15">
      <c r="B27"/>
      <c r="C27"/>
      <c r="D27"/>
      <c r="E27" s="3"/>
      <c r="F27" s="55"/>
      <c r="G27"/>
      <c r="H27"/>
      <c r="I27" s="242" t="s">
        <v>332</v>
      </c>
      <c r="J27" s="79" t="s">
        <v>365</v>
      </c>
      <c r="K27" s="92"/>
      <c r="L27" s="79" t="s">
        <v>366</v>
      </c>
    </row>
    <row r="28" spans="2:20" ht="15">
      <c r="B28"/>
      <c r="C28"/>
      <c r="D28"/>
      <c r="G28"/>
      <c r="H28"/>
      <c r="I28" s="242" t="s">
        <v>333</v>
      </c>
      <c r="J28" s="79" t="s">
        <v>367</v>
      </c>
      <c r="K28" s="92"/>
      <c r="L28" s="79" t="s">
        <v>368</v>
      </c>
      <c r="R28" s="248" t="s">
        <v>369</v>
      </c>
    </row>
    <row r="29" spans="2:20" ht="15">
      <c r="G29"/>
      <c r="H29"/>
      <c r="I29" s="242" t="s">
        <v>336</v>
      </c>
      <c r="J29" s="79" t="s">
        <v>370</v>
      </c>
      <c r="K29" s="92"/>
      <c r="L29" s="251"/>
    </row>
    <row r="30" spans="2:20" ht="15">
      <c r="G30"/>
      <c r="H30"/>
      <c r="I30" s="242" t="s">
        <v>338</v>
      </c>
      <c r="J30" s="79" t="s">
        <v>371</v>
      </c>
      <c r="K30" s="390"/>
      <c r="L30" s="391"/>
      <c r="M30" s="391"/>
      <c r="N30" s="391"/>
      <c r="O30" s="391"/>
      <c r="P30" s="392"/>
    </row>
    <row r="31" spans="2:20" ht="15">
      <c r="G31"/>
      <c r="H31"/>
      <c r="I31" s="242" t="s">
        <v>372</v>
      </c>
      <c r="J31" s="79" t="s">
        <v>373</v>
      </c>
      <c r="K31" s="390"/>
      <c r="L31" s="391"/>
      <c r="M31" s="391"/>
      <c r="N31" s="391"/>
      <c r="O31" s="391"/>
      <c r="P31" s="392"/>
    </row>
    <row r="32" spans="2:20" ht="15">
      <c r="G32"/>
      <c r="H32"/>
      <c r="I32" s="242" t="s">
        <v>374</v>
      </c>
      <c r="J32" s="79" t="s">
        <v>375</v>
      </c>
      <c r="K32" s="266"/>
      <c r="L32" s="79" t="s">
        <v>376</v>
      </c>
      <c r="N32" s="86"/>
      <c r="O32" s="86"/>
      <c r="P32" s="86"/>
      <c r="R32" s="267" t="s">
        <v>377</v>
      </c>
    </row>
    <row r="33" spans="3:20" ht="15">
      <c r="G33"/>
      <c r="H33"/>
      <c r="I33" s="242" t="s">
        <v>378</v>
      </c>
      <c r="J33" s="79" t="s">
        <v>379</v>
      </c>
      <c r="K33" s="268"/>
      <c r="L33" s="253" t="s">
        <v>52</v>
      </c>
      <c r="N33" s="86"/>
      <c r="O33" s="86"/>
      <c r="P33" s="86"/>
      <c r="Q33" s="86"/>
      <c r="R33" s="267" t="s">
        <v>380</v>
      </c>
    </row>
    <row r="34" spans="3:20" ht="15">
      <c r="G34"/>
      <c r="H34"/>
      <c r="I34" s="242" t="s">
        <v>381</v>
      </c>
      <c r="J34" s="79" t="s">
        <v>382</v>
      </c>
      <c r="K34" s="269"/>
      <c r="L34" s="79" t="s">
        <v>383</v>
      </c>
      <c r="N34" s="86"/>
      <c r="O34" s="86"/>
      <c r="P34" s="86"/>
      <c r="Q34" s="86"/>
      <c r="R34" s="267" t="s">
        <v>384</v>
      </c>
    </row>
    <row r="35" spans="3:20" ht="15">
      <c r="G35"/>
      <c r="H35"/>
      <c r="I35" s="242" t="s">
        <v>385</v>
      </c>
      <c r="J35" s="86" t="s">
        <v>386</v>
      </c>
      <c r="K35" s="268"/>
      <c r="L35" s="79" t="s">
        <v>387</v>
      </c>
      <c r="N35" s="86"/>
      <c r="O35" s="86"/>
      <c r="P35" s="86"/>
      <c r="Q35" s="86"/>
      <c r="R35" s="267" t="s">
        <v>388</v>
      </c>
      <c r="T35" s="254"/>
    </row>
    <row r="36" spans="3:20" ht="15">
      <c r="G36"/>
      <c r="H36"/>
      <c r="I36" s="242" t="s">
        <v>389</v>
      </c>
      <c r="J36" s="79" t="s">
        <v>390</v>
      </c>
      <c r="K36" s="270"/>
      <c r="L36" s="253" t="s">
        <v>52</v>
      </c>
      <c r="N36" s="86"/>
      <c r="O36" s="86"/>
      <c r="P36" s="86"/>
      <c r="Q36" s="86"/>
      <c r="R36" s="267" t="s">
        <v>391</v>
      </c>
    </row>
    <row r="37" spans="3:20" ht="15">
      <c r="G37"/>
      <c r="H37"/>
      <c r="I37" s="242" t="s">
        <v>392</v>
      </c>
      <c r="J37" s="79" t="s">
        <v>393</v>
      </c>
      <c r="K37" s="271"/>
      <c r="L37" s="79" t="s">
        <v>330</v>
      </c>
      <c r="N37" s="86"/>
      <c r="P37" s="86"/>
      <c r="Q37" s="86"/>
      <c r="R37" s="252" t="s">
        <v>331</v>
      </c>
    </row>
    <row r="38" spans="3:20" ht="15">
      <c r="G38"/>
      <c r="H38"/>
      <c r="I38" s="242" t="s">
        <v>394</v>
      </c>
      <c r="J38" s="79" t="s">
        <v>334</v>
      </c>
      <c r="K38" s="271">
        <v>35</v>
      </c>
      <c r="L38" s="79" t="s">
        <v>335</v>
      </c>
      <c r="O38" s="86"/>
      <c r="P38" s="86"/>
      <c r="Q38" s="86"/>
      <c r="R38" s="252" t="s">
        <v>142</v>
      </c>
    </row>
    <row r="39" spans="3:20" ht="15">
      <c r="G39"/>
      <c r="H39"/>
      <c r="I39" s="242" t="s">
        <v>395</v>
      </c>
      <c r="J39" s="79" t="s">
        <v>337</v>
      </c>
      <c r="K39" s="269">
        <v>5</v>
      </c>
      <c r="L39" s="79" t="s">
        <v>335</v>
      </c>
      <c r="O39" s="86"/>
      <c r="P39" s="86"/>
      <c r="Q39" s="86"/>
      <c r="R39" s="252" t="s">
        <v>143</v>
      </c>
    </row>
    <row r="40" spans="3:20">
      <c r="R40" s="79"/>
    </row>
    <row r="41" spans="3:20">
      <c r="R41" s="79"/>
    </row>
    <row r="42" spans="3:20">
      <c r="R42" s="79"/>
    </row>
    <row r="43" spans="3:20">
      <c r="R43" s="79"/>
    </row>
    <row r="44" spans="3:20">
      <c r="C44" s="253" t="s">
        <v>432</v>
      </c>
      <c r="R44" s="79"/>
    </row>
    <row r="45" spans="3:20" ht="15">
      <c r="C45" s="79" t="s">
        <v>420</v>
      </c>
      <c r="E45" s="79" t="s">
        <v>418</v>
      </c>
      <c r="R45" s="79"/>
      <c r="T45" t="s">
        <v>471</v>
      </c>
    </row>
    <row r="46" spans="3:20" ht="15">
      <c r="C46" s="304">
        <v>0</v>
      </c>
      <c r="E46" s="304">
        <v>0.9</v>
      </c>
      <c r="K46"/>
      <c r="R46" s="79"/>
      <c r="T46" s="369" t="s">
        <v>495</v>
      </c>
    </row>
    <row r="47" spans="3:20" ht="15">
      <c r="C47" s="304">
        <v>0.1</v>
      </c>
      <c r="E47" s="305">
        <v>0.8</v>
      </c>
      <c r="R47" s="79"/>
      <c r="T47" s="369" t="s">
        <v>498</v>
      </c>
    </row>
    <row r="48" spans="3:20">
      <c r="C48" s="304">
        <v>0.2</v>
      </c>
      <c r="E48" s="305">
        <v>0.7</v>
      </c>
      <c r="R48" s="79"/>
    </row>
    <row r="49" spans="3:27">
      <c r="C49" s="293">
        <v>0.3</v>
      </c>
      <c r="E49" s="305">
        <v>0.6</v>
      </c>
      <c r="R49" s="79"/>
    </row>
    <row r="50" spans="3:27">
      <c r="C50" s="293">
        <v>0.4</v>
      </c>
      <c r="E50" s="305">
        <v>0.5</v>
      </c>
      <c r="R50" s="79"/>
    </row>
    <row r="51" spans="3:27">
      <c r="C51" s="293">
        <v>0.5</v>
      </c>
      <c r="E51" s="305">
        <v>0.4</v>
      </c>
      <c r="R51" s="79"/>
    </row>
    <row r="52" spans="3:27">
      <c r="C52" s="293">
        <v>0.6</v>
      </c>
      <c r="E52" s="305">
        <v>0.35</v>
      </c>
      <c r="R52" s="79"/>
    </row>
    <row r="53" spans="3:27">
      <c r="C53" s="293">
        <v>0.7</v>
      </c>
      <c r="E53" s="305">
        <v>0.3</v>
      </c>
      <c r="R53" s="79"/>
    </row>
    <row r="54" spans="3:27">
      <c r="C54" s="293">
        <v>0.8</v>
      </c>
      <c r="E54" s="305">
        <v>0.25</v>
      </c>
      <c r="R54" s="79"/>
    </row>
    <row r="55" spans="3:27">
      <c r="R55" s="79"/>
      <c r="W55" s="272"/>
      <c r="X55" s="272"/>
      <c r="Y55" s="272"/>
      <c r="Z55" s="272"/>
    </row>
    <row r="56" spans="3:27" ht="15">
      <c r="R56" s="79"/>
      <c r="W56" s="273"/>
      <c r="X56" s="273"/>
      <c r="Y56" s="273"/>
      <c r="Z56" s="273"/>
    </row>
    <row r="57" spans="3:27">
      <c r="R57" s="79"/>
    </row>
    <row r="58" spans="3:27">
      <c r="R58" s="79"/>
    </row>
    <row r="60" spans="3:27" ht="15">
      <c r="T60"/>
      <c r="U60"/>
      <c r="V60"/>
      <c r="W60"/>
      <c r="X60"/>
      <c r="Y60"/>
      <c r="Z60"/>
      <c r="AA60"/>
    </row>
    <row r="61" spans="3:27" ht="15">
      <c r="T61"/>
      <c r="U61"/>
      <c r="V61"/>
      <c r="W61"/>
      <c r="X61"/>
      <c r="Y61"/>
      <c r="Z61"/>
      <c r="AA61"/>
    </row>
    <row r="62" spans="3:27" ht="15">
      <c r="T62"/>
      <c r="U62"/>
      <c r="V62"/>
      <c r="W62"/>
      <c r="X62"/>
      <c r="Y62"/>
      <c r="Z62"/>
      <c r="AA62"/>
    </row>
    <row r="63" spans="3:27" ht="15">
      <c r="R63" s="79"/>
      <c r="T63"/>
      <c r="U63"/>
      <c r="V63"/>
      <c r="W63"/>
      <c r="X63"/>
      <c r="Y63"/>
      <c r="Z63"/>
      <c r="AA63"/>
    </row>
    <row r="64" spans="3:27" ht="15">
      <c r="T64"/>
      <c r="U64"/>
      <c r="V64"/>
      <c r="W64"/>
      <c r="X64"/>
      <c r="Y64"/>
      <c r="Z64"/>
      <c r="AA64"/>
    </row>
    <row r="65" spans="20:28" ht="15">
      <c r="T65"/>
      <c r="U65"/>
      <c r="V65"/>
      <c r="W65"/>
      <c r="X65"/>
      <c r="Y65"/>
      <c r="Z65"/>
      <c r="AA65"/>
    </row>
    <row r="66" spans="20:28" ht="15">
      <c r="T66"/>
      <c r="U66"/>
      <c r="V66"/>
      <c r="W66"/>
      <c r="X66"/>
      <c r="Y66"/>
      <c r="Z66"/>
      <c r="AA66"/>
    </row>
    <row r="67" spans="20:28" ht="15">
      <c r="T67"/>
      <c r="U67"/>
      <c r="V67"/>
      <c r="W67"/>
      <c r="X67"/>
      <c r="Y67"/>
      <c r="Z67"/>
      <c r="AA67"/>
    </row>
    <row r="68" spans="20:28" ht="15">
      <c r="T68"/>
      <c r="U68"/>
      <c r="V68"/>
      <c r="W68"/>
      <c r="X68"/>
      <c r="Y68"/>
      <c r="Z68"/>
      <c r="AA68"/>
    </row>
    <row r="69" spans="20:28" ht="15">
      <c r="T69"/>
      <c r="U69"/>
      <c r="V69"/>
      <c r="W69"/>
      <c r="X69"/>
      <c r="Y69"/>
      <c r="Z69"/>
      <c r="AA69"/>
    </row>
    <row r="70" spans="20:28" ht="15">
      <c r="T70"/>
      <c r="U70"/>
      <c r="V70"/>
      <c r="W70"/>
      <c r="X70"/>
      <c r="Y70"/>
      <c r="Z70"/>
      <c r="AA70"/>
    </row>
    <row r="71" spans="20:28" ht="15">
      <c r="T71"/>
      <c r="U71"/>
      <c r="V71"/>
      <c r="W71"/>
      <c r="X71"/>
      <c r="Y71"/>
      <c r="Z71"/>
      <c r="AA71"/>
    </row>
    <row r="72" spans="20:28" ht="15">
      <c r="T72"/>
      <c r="U72"/>
      <c r="V72"/>
      <c r="W72"/>
      <c r="X72"/>
      <c r="Y72"/>
      <c r="Z72"/>
      <c r="AA72"/>
    </row>
    <row r="73" spans="20:28" ht="15">
      <c r="T73"/>
      <c r="U73"/>
      <c r="V73"/>
      <c r="W73"/>
      <c r="X73"/>
      <c r="Y73"/>
      <c r="Z73"/>
      <c r="AA73"/>
    </row>
    <row r="74" spans="20:28" ht="15">
      <c r="T74"/>
      <c r="U74"/>
      <c r="V74"/>
      <c r="W74"/>
      <c r="X74"/>
      <c r="Y74"/>
      <c r="Z74"/>
      <c r="AA74"/>
    </row>
    <row r="75" spans="20:28" ht="15">
      <c r="T75"/>
      <c r="U75"/>
      <c r="V75"/>
      <c r="W75"/>
      <c r="X75"/>
      <c r="Y75"/>
      <c r="Z75"/>
      <c r="AA75"/>
    </row>
    <row r="76" spans="20:28" ht="15">
      <c r="T76"/>
      <c r="U76"/>
      <c r="V76"/>
      <c r="W76"/>
      <c r="X76"/>
      <c r="Y76"/>
      <c r="Z76"/>
      <c r="AA76"/>
    </row>
    <row r="77" spans="20:28" ht="15">
      <c r="T77"/>
      <c r="U77"/>
      <c r="V77"/>
      <c r="W77"/>
      <c r="X77"/>
      <c r="Y77"/>
      <c r="Z77"/>
      <c r="AA77"/>
    </row>
    <row r="78" spans="20:28" ht="15">
      <c r="T78"/>
      <c r="U78"/>
      <c r="V78"/>
      <c r="W78"/>
      <c r="X78"/>
      <c r="Y78"/>
      <c r="Z78"/>
      <c r="AA78"/>
    </row>
    <row r="79" spans="20:28" ht="15">
      <c r="T79"/>
      <c r="U79"/>
      <c r="V79"/>
      <c r="W79"/>
      <c r="X79"/>
      <c r="Y79"/>
      <c r="Z79"/>
      <c r="AA79"/>
    </row>
    <row r="80" spans="20:28" ht="12.75" customHeight="1">
      <c r="T80"/>
      <c r="U80"/>
      <c r="V80"/>
      <c r="W80"/>
      <c r="X80"/>
      <c r="Y80"/>
      <c r="Z80"/>
      <c r="AA80"/>
      <c r="AB80"/>
    </row>
    <row r="81" spans="27:28" ht="15">
      <c r="AA81"/>
      <c r="AB81"/>
    </row>
    <row r="82" spans="27:28" ht="15">
      <c r="AA82"/>
      <c r="AB82"/>
    </row>
    <row r="83" spans="27:28" ht="15">
      <c r="AA83"/>
      <c r="AB83"/>
    </row>
    <row r="84" spans="27:28" ht="15">
      <c r="AA84"/>
      <c r="AB84"/>
    </row>
    <row r="85" spans="27:28" ht="15">
      <c r="AA85"/>
      <c r="AB85"/>
    </row>
    <row r="86" spans="27:28" ht="15">
      <c r="AA86"/>
      <c r="AB86"/>
    </row>
    <row r="87" spans="27:28" ht="15">
      <c r="AA87"/>
      <c r="AB87"/>
    </row>
    <row r="88" spans="27:28" ht="15">
      <c r="AA88"/>
      <c r="AB88"/>
    </row>
    <row r="89" spans="27:28" ht="15">
      <c r="AA89"/>
      <c r="AB89"/>
    </row>
    <row r="90" spans="27:28" ht="15">
      <c r="AA90"/>
      <c r="AB90"/>
    </row>
    <row r="91" spans="27:28" ht="15">
      <c r="AA91"/>
      <c r="AB91"/>
    </row>
  </sheetData>
  <mergeCells count="9">
    <mergeCell ref="K31:P31"/>
    <mergeCell ref="M18:P18"/>
    <mergeCell ref="K13:P13"/>
    <mergeCell ref="Q1:R1"/>
    <mergeCell ref="T4:Y4"/>
    <mergeCell ref="I7:R7"/>
    <mergeCell ref="K10:Q10"/>
    <mergeCell ref="K12:P12"/>
    <mergeCell ref="K30:P30"/>
  </mergeCells>
  <dataValidations count="3">
    <dataValidation type="list" allowBlank="1" showInputMessage="1" showErrorMessage="1" sqref="K14">
      <formula1>lst_Qref</formula1>
    </dataValidation>
    <dataValidation type="list" allowBlank="1" showInputMessage="1" showErrorMessage="1" sqref="C22">
      <formula1>$E$46:$E$54</formula1>
    </dataValidation>
    <dataValidation type="list" allowBlank="1" showInputMessage="1" showErrorMessage="1" sqref="C19">
      <formula1>$C$46:$C$54</formula1>
    </dataValidation>
  </dataValidations>
  <hyperlinks>
    <hyperlink ref="B1" location="Index!A1" display="Back to index"/>
  </hyperlinks>
  <pageMargins left="0.7" right="0.7" top="0.75" bottom="0.75" header="0.3" footer="0.3"/>
  <pageSetup paperSize="9" scale="78" orientation="portrait" horizontalDpi="0" verticalDpi="0" r:id="rId1"/>
  <drawing r:id="rId2"/>
  <legacyDrawing r:id="rId3"/>
</worksheet>
</file>

<file path=xl/worksheets/sheet9.xml><?xml version="1.0" encoding="utf-8"?>
<worksheet xmlns="http://schemas.openxmlformats.org/spreadsheetml/2006/main" xmlns:r="http://schemas.openxmlformats.org/officeDocument/2006/relationships">
  <sheetPr>
    <pageSetUpPr fitToPage="1"/>
  </sheetPr>
  <dimension ref="B1:V62"/>
  <sheetViews>
    <sheetView showGridLines="0" zoomScaleNormal="100" workbookViewId="0"/>
  </sheetViews>
  <sheetFormatPr defaultRowHeight="12.75"/>
  <cols>
    <col min="1" max="1" width="2.7109375" style="79" customWidth="1"/>
    <col min="2" max="2" width="38.42578125" style="79" bestFit="1" customWidth="1"/>
    <col min="3" max="3" width="5" style="79" customWidth="1"/>
    <col min="4" max="4" width="10.7109375" style="79" customWidth="1"/>
    <col min="5" max="5" width="28.42578125" style="79" customWidth="1"/>
    <col min="6" max="9" width="9.140625" style="79"/>
    <col min="10" max="10" width="10.85546875" style="79" customWidth="1"/>
    <col min="11" max="11" width="10.85546875" style="56" customWidth="1"/>
    <col min="12" max="12" width="9.140625" style="79"/>
    <col min="13" max="13" width="29.42578125" style="79" customWidth="1"/>
    <col min="14" max="14" width="10.28515625" style="79" bestFit="1" customWidth="1"/>
    <col min="15" max="21" width="9.140625" style="79"/>
    <col min="22" max="22" width="10.5703125" style="79" customWidth="1"/>
    <col min="23" max="23" width="10.28515625" style="79" bestFit="1" customWidth="1"/>
    <col min="24" max="24" width="6.42578125" style="79" bestFit="1" customWidth="1"/>
    <col min="25" max="16384" width="9.140625" style="79"/>
  </cols>
  <sheetData>
    <row r="1" spans="2:18" ht="15">
      <c r="B1" s="225" t="s">
        <v>312</v>
      </c>
      <c r="D1" s="79" t="s">
        <v>13</v>
      </c>
      <c r="E1" s="79" t="s">
        <v>314</v>
      </c>
      <c r="K1" s="226">
        <v>41341</v>
      </c>
    </row>
    <row r="2" spans="2:18">
      <c r="D2" s="79" t="s">
        <v>15</v>
      </c>
      <c r="E2" s="79" t="s">
        <v>3</v>
      </c>
      <c r="K2" s="56" t="s">
        <v>17</v>
      </c>
    </row>
    <row r="3" spans="2:18">
      <c r="D3" s="79" t="s">
        <v>18</v>
      </c>
      <c r="E3" s="79" t="s">
        <v>19</v>
      </c>
      <c r="K3" s="227" t="s">
        <v>20</v>
      </c>
    </row>
    <row r="4" spans="2:18">
      <c r="B4" s="228" t="s">
        <v>21</v>
      </c>
      <c r="D4" s="230" t="s">
        <v>22</v>
      </c>
      <c r="E4" s="230" t="s">
        <v>398</v>
      </c>
      <c r="F4" s="230"/>
      <c r="G4" s="230"/>
      <c r="H4" s="230"/>
      <c r="I4" s="230"/>
      <c r="J4" s="230"/>
      <c r="K4" s="231" t="s">
        <v>24</v>
      </c>
      <c r="M4" s="402" t="s">
        <v>25</v>
      </c>
      <c r="N4" s="402"/>
      <c r="O4" s="402"/>
      <c r="P4" s="402"/>
      <c r="Q4" s="402"/>
      <c r="R4" s="402"/>
    </row>
    <row r="6" spans="2:18">
      <c r="M6" s="79" t="s">
        <v>26</v>
      </c>
    </row>
    <row r="7" spans="2:18" ht="15">
      <c r="D7" s="398" t="s">
        <v>433</v>
      </c>
      <c r="E7" s="398"/>
      <c r="F7" s="398"/>
      <c r="G7" s="398"/>
      <c r="H7" s="398"/>
      <c r="I7" s="398"/>
      <c r="J7" s="398"/>
      <c r="K7" s="398"/>
      <c r="M7" s="232" t="s">
        <v>434</v>
      </c>
    </row>
    <row r="8" spans="2:18">
      <c r="K8" s="79"/>
    </row>
    <row r="9" spans="2:18">
      <c r="D9" s="234" t="s">
        <v>315</v>
      </c>
      <c r="E9" s="234" t="s">
        <v>399</v>
      </c>
      <c r="M9" s="352" t="s">
        <v>431</v>
      </c>
    </row>
    <row r="10" spans="2:18">
      <c r="D10" s="235" t="s">
        <v>316</v>
      </c>
      <c r="E10" s="235" t="s">
        <v>317</v>
      </c>
      <c r="F10" s="236" t="s">
        <v>318</v>
      </c>
      <c r="G10" s="237"/>
      <c r="H10" s="237"/>
      <c r="I10" s="237"/>
      <c r="J10" s="238"/>
      <c r="K10" s="239" t="s">
        <v>319</v>
      </c>
      <c r="M10" s="241" t="s">
        <v>27</v>
      </c>
      <c r="O10" s="92"/>
    </row>
    <row r="11" spans="2:18">
      <c r="M11" s="241" t="s">
        <v>28</v>
      </c>
      <c r="O11" s="243"/>
      <c r="P11" s="79" t="s">
        <v>29</v>
      </c>
    </row>
    <row r="12" spans="2:18" ht="15">
      <c r="D12" s="242" t="s">
        <v>320</v>
      </c>
      <c r="E12" s="79" t="s">
        <v>321</v>
      </c>
      <c r="F12" s="390"/>
      <c r="G12" s="403"/>
      <c r="H12" s="403"/>
      <c r="I12" s="403"/>
      <c r="J12" s="404"/>
      <c r="K12" s="86"/>
      <c r="M12" s="244" t="s">
        <v>30</v>
      </c>
      <c r="N12" s="233"/>
      <c r="O12" s="258"/>
      <c r="P12" s="79" t="s">
        <v>29</v>
      </c>
    </row>
    <row r="13" spans="2:18" ht="15">
      <c r="D13" s="242" t="s">
        <v>322</v>
      </c>
      <c r="E13" s="79" t="s">
        <v>323</v>
      </c>
      <c r="F13" s="390"/>
      <c r="G13" s="403"/>
      <c r="H13" s="403"/>
      <c r="I13" s="403"/>
      <c r="J13" s="404"/>
      <c r="K13" s="86"/>
      <c r="M13" s="244" t="s">
        <v>34</v>
      </c>
      <c r="N13" s="233"/>
      <c r="O13" s="249"/>
      <c r="P13" s="79" t="s">
        <v>29</v>
      </c>
    </row>
    <row r="14" spans="2:18">
      <c r="B14" s="79" t="s">
        <v>400</v>
      </c>
      <c r="D14" s="242" t="s">
        <v>324</v>
      </c>
      <c r="E14" s="79" t="s">
        <v>401</v>
      </c>
      <c r="F14" s="275" t="str">
        <f>VLOOKUP(F15,P55:Q62,2,TRUE)</f>
        <v>B</v>
      </c>
      <c r="G14" s="276"/>
      <c r="H14" s="276"/>
      <c r="I14" s="276"/>
      <c r="J14" s="247"/>
      <c r="K14" s="86"/>
      <c r="M14" s="241" t="s">
        <v>40</v>
      </c>
      <c r="N14" s="233"/>
      <c r="O14" s="250"/>
      <c r="P14" s="79" t="s">
        <v>29</v>
      </c>
    </row>
    <row r="15" spans="2:18">
      <c r="B15" s="245" t="s">
        <v>339</v>
      </c>
      <c r="C15" s="277" t="s">
        <v>36</v>
      </c>
      <c r="D15" s="242" t="s">
        <v>325</v>
      </c>
      <c r="E15" s="79" t="s">
        <v>402</v>
      </c>
      <c r="F15" s="278">
        <f>VLOOKUP(B15,dbf_HWST,4,FALSE)</f>
        <v>48.150000000000006</v>
      </c>
      <c r="G15" s="276" t="s">
        <v>403</v>
      </c>
      <c r="H15" s="276"/>
      <c r="I15" s="276"/>
      <c r="J15" s="247"/>
      <c r="K15" s="257" t="s">
        <v>329</v>
      </c>
    </row>
    <row r="16" spans="2:18">
      <c r="C16" s="277" t="s">
        <v>36</v>
      </c>
      <c r="D16" s="242" t="s">
        <v>327</v>
      </c>
      <c r="E16" s="79" t="s">
        <v>404</v>
      </c>
      <c r="F16" s="278">
        <f>VLOOKUP(B15,dbf_HWST,2,FALSE)</f>
        <v>150</v>
      </c>
      <c r="G16" s="276" t="s">
        <v>330</v>
      </c>
      <c r="H16" s="276"/>
      <c r="I16" s="276"/>
      <c r="J16" s="247"/>
      <c r="K16" s="257" t="s">
        <v>331</v>
      </c>
      <c r="M16" s="79" t="s">
        <v>405</v>
      </c>
    </row>
    <row r="17" spans="13:20">
      <c r="M17" s="251" t="s">
        <v>355</v>
      </c>
    </row>
    <row r="18" spans="13:20">
      <c r="M18" s="79" t="s">
        <v>406</v>
      </c>
    </row>
    <row r="20" spans="13:20">
      <c r="M20" s="79" t="s">
        <v>107</v>
      </c>
    </row>
    <row r="21" spans="13:20">
      <c r="M21" s="79" t="s">
        <v>109</v>
      </c>
    </row>
    <row r="22" spans="13:20">
      <c r="M22" s="79" t="s">
        <v>110</v>
      </c>
    </row>
    <row r="23" spans="13:20">
      <c r="M23" s="79" t="s">
        <v>113</v>
      </c>
    </row>
    <row r="25" spans="13:20" ht="15">
      <c r="M25"/>
      <c r="N25"/>
      <c r="O25"/>
      <c r="P25"/>
      <c r="Q25"/>
      <c r="R25"/>
      <c r="S25"/>
      <c r="T25"/>
    </row>
    <row r="26" spans="13:20" ht="15">
      <c r="M26"/>
      <c r="N26"/>
      <c r="O26"/>
      <c r="P26"/>
      <c r="Q26"/>
      <c r="R26"/>
      <c r="S26"/>
      <c r="T26"/>
    </row>
    <row r="27" spans="13:20" ht="15">
      <c r="M27"/>
      <c r="N27"/>
      <c r="O27"/>
      <c r="P27"/>
      <c r="Q27"/>
      <c r="R27"/>
      <c r="S27"/>
      <c r="T27"/>
    </row>
    <row r="28" spans="13:20" ht="15">
      <c r="M28"/>
      <c r="N28"/>
      <c r="O28"/>
      <c r="P28"/>
      <c r="Q28"/>
      <c r="R28"/>
      <c r="S28"/>
      <c r="T28"/>
    </row>
    <row r="29" spans="13:20" ht="15">
      <c r="M29"/>
      <c r="N29"/>
      <c r="O29"/>
      <c r="P29"/>
      <c r="Q29"/>
      <c r="R29"/>
      <c r="S29"/>
      <c r="T29"/>
    </row>
    <row r="30" spans="13:20" ht="15">
      <c r="M30"/>
      <c r="N30"/>
      <c r="O30"/>
      <c r="P30"/>
      <c r="Q30"/>
      <c r="R30"/>
      <c r="S30"/>
      <c r="T30"/>
    </row>
    <row r="31" spans="13:20" ht="15">
      <c r="M31"/>
      <c r="N31"/>
      <c r="O31"/>
      <c r="P31"/>
      <c r="Q31"/>
      <c r="R31"/>
      <c r="S31"/>
      <c r="T31"/>
    </row>
    <row r="32" spans="13:20" ht="15">
      <c r="M32"/>
      <c r="N32"/>
      <c r="O32"/>
      <c r="P32"/>
      <c r="Q32"/>
      <c r="R32"/>
      <c r="S32"/>
      <c r="T32"/>
    </row>
    <row r="33" spans="13:20" ht="15">
      <c r="M33"/>
      <c r="N33"/>
      <c r="O33"/>
      <c r="P33"/>
      <c r="Q33"/>
      <c r="R33"/>
      <c r="S33"/>
      <c r="T33"/>
    </row>
    <row r="34" spans="13:20" ht="15">
      <c r="M34"/>
      <c r="N34"/>
      <c r="O34"/>
      <c r="P34"/>
      <c r="Q34"/>
      <c r="R34"/>
      <c r="S34"/>
      <c r="T34"/>
    </row>
    <row r="35" spans="13:20" ht="15">
      <c r="M35"/>
      <c r="N35"/>
      <c r="O35"/>
      <c r="P35"/>
      <c r="Q35"/>
      <c r="R35"/>
      <c r="S35"/>
      <c r="T35"/>
    </row>
    <row r="36" spans="13:20" ht="15">
      <c r="M36"/>
      <c r="N36"/>
      <c r="O36"/>
      <c r="P36"/>
      <c r="Q36"/>
      <c r="R36"/>
      <c r="S36"/>
      <c r="T36"/>
    </row>
    <row r="37" spans="13:20" ht="15">
      <c r="M37"/>
      <c r="N37"/>
      <c r="O37"/>
      <c r="P37"/>
      <c r="Q37"/>
      <c r="R37"/>
      <c r="S37"/>
      <c r="T37"/>
    </row>
    <row r="38" spans="13:20" ht="15">
      <c r="M38"/>
      <c r="N38"/>
      <c r="O38"/>
      <c r="P38"/>
      <c r="Q38"/>
      <c r="R38"/>
      <c r="S38"/>
      <c r="T38"/>
    </row>
    <row r="39" spans="13:20" ht="15">
      <c r="M39"/>
      <c r="N39"/>
      <c r="O39"/>
      <c r="P39"/>
      <c r="Q39"/>
      <c r="R39"/>
      <c r="S39"/>
      <c r="T39"/>
    </row>
    <row r="40" spans="13:20" ht="15">
      <c r="M40"/>
      <c r="N40"/>
      <c r="O40"/>
      <c r="P40"/>
      <c r="Q40"/>
      <c r="R40"/>
      <c r="S40"/>
      <c r="T40"/>
    </row>
    <row r="41" spans="13:20" ht="15">
      <c r="M41"/>
      <c r="N41"/>
      <c r="O41"/>
      <c r="P41"/>
      <c r="Q41"/>
      <c r="R41"/>
      <c r="S41"/>
      <c r="T41"/>
    </row>
    <row r="42" spans="13:20" ht="15">
      <c r="M42"/>
      <c r="N42"/>
      <c r="O42"/>
      <c r="P42"/>
      <c r="Q42"/>
      <c r="R42"/>
      <c r="S42"/>
      <c r="T42"/>
    </row>
    <row r="43" spans="13:20" ht="15">
      <c r="M43"/>
      <c r="N43"/>
      <c r="O43"/>
      <c r="P43"/>
      <c r="Q43"/>
      <c r="R43"/>
      <c r="S43"/>
      <c r="T43"/>
    </row>
    <row r="44" spans="13:20" ht="15">
      <c r="M44"/>
      <c r="N44"/>
      <c r="O44"/>
      <c r="P44"/>
      <c r="Q44"/>
      <c r="R44"/>
      <c r="S44"/>
      <c r="T44"/>
    </row>
    <row r="45" spans="13:20" ht="15">
      <c r="M45"/>
      <c r="N45"/>
      <c r="O45"/>
      <c r="P45"/>
      <c r="Q45"/>
      <c r="R45"/>
      <c r="S45"/>
      <c r="T45"/>
    </row>
    <row r="46" spans="13:20" ht="12.75" customHeight="1">
      <c r="M46"/>
      <c r="N46"/>
      <c r="O46"/>
      <c r="P46"/>
      <c r="Q46"/>
      <c r="R46"/>
      <c r="S46"/>
      <c r="T46"/>
    </row>
    <row r="47" spans="13:20" ht="15">
      <c r="M47"/>
      <c r="N47"/>
      <c r="O47"/>
      <c r="P47"/>
      <c r="Q47"/>
      <c r="R47"/>
      <c r="S47"/>
      <c r="T47"/>
    </row>
    <row r="48" spans="13:20" ht="15">
      <c r="M48"/>
      <c r="N48"/>
      <c r="O48"/>
      <c r="P48"/>
      <c r="Q48"/>
      <c r="R48"/>
      <c r="S48"/>
      <c r="T48"/>
    </row>
    <row r="49" spans="13:22" ht="15">
      <c r="M49"/>
      <c r="N49"/>
      <c r="O49"/>
      <c r="P49"/>
      <c r="Q49"/>
      <c r="R49"/>
      <c r="S49"/>
      <c r="T49"/>
    </row>
    <row r="50" spans="13:22" ht="15">
      <c r="M50"/>
      <c r="N50"/>
      <c r="O50"/>
      <c r="P50"/>
      <c r="Q50"/>
      <c r="R50"/>
      <c r="S50"/>
      <c r="T50"/>
    </row>
    <row r="52" spans="13:22" ht="15">
      <c r="M52" s="234" t="s">
        <v>407</v>
      </c>
      <c r="R52"/>
      <c r="S52"/>
      <c r="T52"/>
      <c r="U52"/>
      <c r="V52"/>
    </row>
    <row r="53" spans="13:22" ht="15">
      <c r="P53" s="56" t="s">
        <v>408</v>
      </c>
      <c r="Q53" s="279">
        <f>F16</f>
        <v>150</v>
      </c>
      <c r="R53" t="s">
        <v>437</v>
      </c>
      <c r="S53"/>
      <c r="T53"/>
      <c r="U53"/>
      <c r="V53"/>
    </row>
    <row r="54" spans="13:22" ht="15">
      <c r="M54" s="280"/>
      <c r="N54" s="281" t="s">
        <v>320</v>
      </c>
      <c r="O54" s="281" t="s">
        <v>322</v>
      </c>
      <c r="P54" s="281" t="s">
        <v>329</v>
      </c>
      <c r="Q54" s="282"/>
      <c r="R54"/>
      <c r="S54"/>
      <c r="T54"/>
      <c r="U54"/>
      <c r="V54"/>
    </row>
    <row r="55" spans="13:22" ht="15">
      <c r="M55" s="79" t="s">
        <v>66</v>
      </c>
      <c r="N55" s="283"/>
      <c r="O55" s="283"/>
      <c r="P55" s="284">
        <v>0</v>
      </c>
      <c r="Q55" s="285" t="s">
        <v>66</v>
      </c>
      <c r="R55"/>
      <c r="S55"/>
      <c r="T55"/>
      <c r="U55"/>
      <c r="V55"/>
    </row>
    <row r="56" spans="13:22" ht="15">
      <c r="M56" s="79" t="s">
        <v>245</v>
      </c>
      <c r="N56" s="283">
        <v>5.5</v>
      </c>
      <c r="O56" s="283">
        <v>3.16</v>
      </c>
      <c r="P56" s="284">
        <f t="shared" ref="P56:P62" si="0">N56+O56*$Q$53^0.4</f>
        <v>28.948960023652536</v>
      </c>
      <c r="Q56" s="285" t="s">
        <v>245</v>
      </c>
      <c r="R56"/>
      <c r="S56"/>
      <c r="T56"/>
      <c r="U56"/>
      <c r="V56"/>
    </row>
    <row r="57" spans="13:22" ht="15">
      <c r="M57" s="79" t="s">
        <v>64</v>
      </c>
      <c r="N57" s="283">
        <v>8.5</v>
      </c>
      <c r="O57" s="283">
        <v>4.25</v>
      </c>
      <c r="P57" s="284">
        <f t="shared" si="0"/>
        <v>40.037367120418757</v>
      </c>
      <c r="Q57" s="285" t="s">
        <v>64</v>
      </c>
      <c r="R57"/>
      <c r="S57"/>
      <c r="T57"/>
      <c r="U57"/>
      <c r="V57"/>
    </row>
    <row r="58" spans="13:22" ht="15">
      <c r="M58" s="79" t="s">
        <v>63</v>
      </c>
      <c r="N58" s="283">
        <v>12</v>
      </c>
      <c r="O58" s="283">
        <v>5.93</v>
      </c>
      <c r="P58" s="284">
        <f t="shared" si="0"/>
        <v>56.003902829196051</v>
      </c>
      <c r="Q58" s="285" t="s">
        <v>63</v>
      </c>
      <c r="R58"/>
      <c r="S58"/>
      <c r="T58"/>
      <c r="U58"/>
      <c r="V58"/>
    </row>
    <row r="59" spans="13:22" ht="15">
      <c r="M59" s="79" t="s">
        <v>62</v>
      </c>
      <c r="N59" s="283">
        <v>16.66</v>
      </c>
      <c r="O59" s="283">
        <v>8.33</v>
      </c>
      <c r="P59" s="284">
        <f t="shared" si="0"/>
        <v>78.473239556020758</v>
      </c>
      <c r="Q59" s="285" t="s">
        <v>62</v>
      </c>
      <c r="R59"/>
      <c r="S59"/>
      <c r="T59"/>
      <c r="U59"/>
      <c r="V59"/>
    </row>
    <row r="60" spans="13:22" ht="15">
      <c r="M60" s="79" t="s">
        <v>61</v>
      </c>
      <c r="N60" s="283">
        <v>21</v>
      </c>
      <c r="O60" s="283">
        <v>10.33</v>
      </c>
      <c r="P60" s="284">
        <f t="shared" si="0"/>
        <v>97.654353495041349</v>
      </c>
      <c r="Q60" s="285" t="s">
        <v>61</v>
      </c>
      <c r="R60"/>
      <c r="S60"/>
      <c r="T60"/>
      <c r="U60"/>
      <c r="V60"/>
    </row>
    <row r="61" spans="13:22" ht="15">
      <c r="M61" s="79" t="s">
        <v>60</v>
      </c>
      <c r="N61" s="283">
        <v>26</v>
      </c>
      <c r="O61" s="283">
        <v>13.66</v>
      </c>
      <c r="P61" s="284">
        <f t="shared" si="0"/>
        <v>127.36480820351063</v>
      </c>
      <c r="Q61" s="285" t="s">
        <v>60</v>
      </c>
      <c r="R61"/>
      <c r="S61"/>
      <c r="T61"/>
      <c r="U61"/>
      <c r="V61"/>
    </row>
    <row r="62" spans="13:22" ht="15">
      <c r="M62" s="79" t="s">
        <v>59</v>
      </c>
      <c r="N62" s="283">
        <v>31</v>
      </c>
      <c r="O62" s="283">
        <v>16.66</v>
      </c>
      <c r="P62" s="284">
        <f t="shared" si="0"/>
        <v>154.62647911204152</v>
      </c>
      <c r="Q62" s="285" t="s">
        <v>59</v>
      </c>
      <c r="R62"/>
      <c r="S62"/>
      <c r="T62"/>
      <c r="U62"/>
      <c r="V62"/>
    </row>
  </sheetData>
  <mergeCells count="4">
    <mergeCell ref="M4:R4"/>
    <mergeCell ref="D7:K7"/>
    <mergeCell ref="F12:J12"/>
    <mergeCell ref="F13:J13"/>
  </mergeCells>
  <dataValidations count="1">
    <dataValidation type="list" allowBlank="1" showInputMessage="1" showErrorMessage="1" sqref="B15">
      <formula1>lst_HWST</formula1>
    </dataValidation>
  </dataValidations>
  <hyperlinks>
    <hyperlink ref="B1" location="Index!A1" display="Back to index"/>
  </hyperlinks>
  <pageMargins left="0.7" right="0.7" top="0.75" bottom="0.75" header="0.3" footer="0.3"/>
  <pageSetup paperSize="9" scale="91"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81</vt:i4>
      </vt:variant>
    </vt:vector>
  </HeadingPairs>
  <TitlesOfParts>
    <vt:vector size="90" baseType="lpstr">
      <vt:lpstr>Index</vt:lpstr>
      <vt:lpstr>Database</vt:lpstr>
      <vt:lpstr>PaF-SH-boiler</vt:lpstr>
      <vt:lpstr>PaF-SH-cogeneration</vt:lpstr>
      <vt:lpstr>PaF-SH-heat pump</vt:lpstr>
      <vt:lpstr>PaF-SH-LT heat pump</vt:lpstr>
      <vt:lpstr>PaF-water heater</vt:lpstr>
      <vt:lpstr>PrF-WH-solar water heater</vt:lpstr>
      <vt:lpstr>PrF-hot water storage</vt:lpstr>
      <vt:lpstr>Col_WHE_Pa_L</vt:lpstr>
      <vt:lpstr>Col_WHE_Pa_Lab</vt:lpstr>
      <vt:lpstr>Col_WHE_Pa_M</vt:lpstr>
      <vt:lpstr>Col_WHE_Pa_S</vt:lpstr>
      <vt:lpstr>Col_WHE_Pa_XL</vt:lpstr>
      <vt:lpstr>Col_WHE_Pa_XXL</vt:lpstr>
      <vt:lpstr>Col_WHE_Pr_L</vt:lpstr>
      <vt:lpstr>Col_WHE_Pr_Lab</vt:lpstr>
      <vt:lpstr>Col_WHE_Pr_M</vt:lpstr>
      <vt:lpstr>Col_WHE_Pr_S</vt:lpstr>
      <vt:lpstr>Col_WHE_Pr_XL</vt:lpstr>
      <vt:lpstr>Col_WHE_Pr_XXL</vt:lpstr>
      <vt:lpstr>dbf_Boilers</vt:lpstr>
      <vt:lpstr>dbf_CoGen</vt:lpstr>
      <vt:lpstr>dbf_Ctrl</vt:lpstr>
      <vt:lpstr>dbf_HeatPump</vt:lpstr>
      <vt:lpstr>dbf_HWST</vt:lpstr>
      <vt:lpstr>dbf_Qref</vt:lpstr>
      <vt:lpstr>dbf_SHW</vt:lpstr>
      <vt:lpstr>dbf_SolCol</vt:lpstr>
      <vt:lpstr>dbf_Tankrating</vt:lpstr>
      <vt:lpstr>dbf_Waterheaters</vt:lpstr>
      <vt:lpstr>'PaF-water heater'!Esys_L</vt:lpstr>
      <vt:lpstr>'PaF-water heater'!Esys_M</vt:lpstr>
      <vt:lpstr>'PaF-water heater'!Esys_XL</vt:lpstr>
      <vt:lpstr>'PaF-water heater'!Esys_XXL</vt:lpstr>
      <vt:lpstr>lst_Boilers</vt:lpstr>
      <vt:lpstr>lst_CoGen</vt:lpstr>
      <vt:lpstr>lst_Ctrl</vt:lpstr>
      <vt:lpstr>lst_HeatPump</vt:lpstr>
      <vt:lpstr>lst_HWST</vt:lpstr>
      <vt:lpstr>lst_Qref</vt:lpstr>
      <vt:lpstr>lst_SolCol</vt:lpstr>
      <vt:lpstr>lst_SWH</vt:lpstr>
      <vt:lpstr>lst_Waterheaters</vt:lpstr>
      <vt:lpstr>PF_3XL</vt:lpstr>
      <vt:lpstr>PF_4XL</vt:lpstr>
      <vt:lpstr>PF_L</vt:lpstr>
      <vt:lpstr>PF_M</vt:lpstr>
      <vt:lpstr>PF_S</vt:lpstr>
      <vt:lpstr>PF_XL</vt:lpstr>
      <vt:lpstr>PF_XXL</vt:lpstr>
      <vt:lpstr>'PaF-SH-boiler'!Print_Area</vt:lpstr>
      <vt:lpstr>'PaF-SH-cogeneration'!Print_Area</vt:lpstr>
      <vt:lpstr>'PaF-SH-heat pump'!Print_Area</vt:lpstr>
      <vt:lpstr>'PaF-SH-LT heat pump'!Print_Area</vt:lpstr>
      <vt:lpstr>'PaF-water heater'!Print_Area</vt:lpstr>
      <vt:lpstr>'PrF-hot water storage'!Print_Area</vt:lpstr>
      <vt:lpstr>'PrF-WH-solar water heater'!Print_Area</vt:lpstr>
      <vt:lpstr>Qns_A_L</vt:lpstr>
      <vt:lpstr>Qns_A_M</vt:lpstr>
      <vt:lpstr>Qns_A_XL</vt:lpstr>
      <vt:lpstr>Qns_A_XXL</vt:lpstr>
      <vt:lpstr>Qns_C_L</vt:lpstr>
      <vt:lpstr>Qns_C_M</vt:lpstr>
      <vt:lpstr>Qns_C_XL</vt:lpstr>
      <vt:lpstr>Qns_C_XXL</vt:lpstr>
      <vt:lpstr>Qns_W_L</vt:lpstr>
      <vt:lpstr>Qns_W_M</vt:lpstr>
      <vt:lpstr>Qns_W_XL</vt:lpstr>
      <vt:lpstr>Qns_W_XXL</vt:lpstr>
      <vt:lpstr>'PrF-WH-solar water heater'!Qta_A_L</vt:lpstr>
      <vt:lpstr>'PrF-WH-solar water heater'!Qta_A_M</vt:lpstr>
      <vt:lpstr>'PrF-WH-solar water heater'!Qta_A_XL</vt:lpstr>
      <vt:lpstr>Qta_A_XXL</vt:lpstr>
      <vt:lpstr>Qta_C_L</vt:lpstr>
      <vt:lpstr>Qta_C_M</vt:lpstr>
      <vt:lpstr>Qta_C_XL</vt:lpstr>
      <vt:lpstr>Qta_C_XXL</vt:lpstr>
      <vt:lpstr>Qta_W_L</vt:lpstr>
      <vt:lpstr>Qta_W_M</vt:lpstr>
      <vt:lpstr>Qta_W_XL</vt:lpstr>
      <vt:lpstr>Qta_W_XXL</vt:lpstr>
      <vt:lpstr>tbl1_S</vt:lpstr>
      <vt:lpstr>tbl12_R</vt:lpstr>
      <vt:lpstr>tbl2_S</vt:lpstr>
      <vt:lpstr>Tbl5_SH</vt:lpstr>
      <vt:lpstr>Tbl5_SH_Ext</vt:lpstr>
      <vt:lpstr>Tbl6_SH</vt:lpstr>
      <vt:lpstr>Tbl6_SH_Ext</vt:lpstr>
      <vt:lpstr>YesNo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GerardvA</dc:creator>
  <cp:lastModifiedBy>Uwe Trenkner</cp:lastModifiedBy>
  <cp:lastPrinted>2013-04-09T18:55:32Z</cp:lastPrinted>
  <dcterms:created xsi:type="dcterms:W3CDTF">2013-04-08T09:26:00Z</dcterms:created>
  <dcterms:modified xsi:type="dcterms:W3CDTF">2013-07-10T13:29:06Z</dcterms:modified>
</cp:coreProperties>
</file>