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9320" windowHeight="11640" activeTab="0"/>
  </bookViews>
  <sheets>
    <sheet name="User" sheetId="1" r:id="rId1"/>
    <sheet name="Parameter" sheetId="2" r:id="rId2"/>
    <sheet name="ParVar" sheetId="3" r:id="rId3"/>
  </sheets>
  <definedNames>
    <definedName name="_xlnm._FilterDatabase" localSheetId="2" hidden="1">'ParVar'!$A$12:$N$587</definedName>
    <definedName name="a_1">'User'!$O$26</definedName>
    <definedName name="a_2">'User'!$O$27</definedName>
    <definedName name="a_3">'User'!$O$28</definedName>
    <definedName name="a_4">'User'!$O$29</definedName>
    <definedName name="a_5">'User'!$Q$26</definedName>
    <definedName name="a_6">'User'!$Q$27</definedName>
    <definedName name="a_7">'User'!$Q$28</definedName>
    <definedName name="a_8">'User'!$Q$29</definedName>
    <definedName name="Ac_1">'User'!$I$11</definedName>
    <definedName name="Ac_2">'User'!$I$12</definedName>
    <definedName name="Ac_3">'User'!$I$13</definedName>
    <definedName name="Ac_4">'User'!$I$14</definedName>
    <definedName name="Ac_5">'User'!$I$15</definedName>
    <definedName name="Acalc_1">'User'!$C$25</definedName>
    <definedName name="Acalc_2">'User'!$C$26</definedName>
    <definedName name="Acalc_3">'User'!$C$27</definedName>
    <definedName name="Acalc_4">'User'!$C$28</definedName>
    <definedName name="Acalc_5">'User'!$C$29</definedName>
    <definedName name="Acalc_6">'User'!$C$30</definedName>
    <definedName name="Acalc_7">'User'!$C$31</definedName>
    <definedName name="AcVsto_1">'User'!$M$35</definedName>
    <definedName name="AcVsto_end">'User'!$S$39</definedName>
    <definedName name="Aux">'Parameter'!$H$10</definedName>
    <definedName name="AuxHeating">'User'!#REF!</definedName>
    <definedName name="coll">'User'!#REF!</definedName>
    <definedName name="DFsol1">'ParVar'!$AC$13</definedName>
    <definedName name="fcalc_1">'User'!$E$25</definedName>
    <definedName name="fcalc_2">'User'!$E$26</definedName>
    <definedName name="fcalc_3">'User'!$E$27</definedName>
    <definedName name="fcalc_4">'User'!$E$28</definedName>
    <definedName name="fsol_1">'User'!$K$11</definedName>
    <definedName name="fsol_2">'User'!$K$12</definedName>
    <definedName name="fsol_3">'User'!$K$13</definedName>
    <definedName name="fsol_4">'User'!$K$14</definedName>
    <definedName name="fsol_5">'User'!$K$15</definedName>
    <definedName name="n_System">'Parameter'!$K$10</definedName>
    <definedName name="Speicherverluste">'User'!#REF!</definedName>
    <definedName name="Standort">'Parameter'!$B$10</definedName>
    <definedName name="sto">'User'!#REF!</definedName>
    <definedName name="T_1">'Parameter'!$C$18</definedName>
    <definedName name="Vcalc_1">'User'!$D$25</definedName>
    <definedName name="Vcalc_2">'User'!$D$26</definedName>
    <definedName name="Vcalc_3">'User'!$D$27</definedName>
    <definedName name="Vcalc_4">'User'!$D$28</definedName>
    <definedName name="Vcalc_5">'User'!$D$29</definedName>
    <definedName name="Vcalc_6">'User'!$D$30</definedName>
    <definedName name="Vcalc_7">'User'!$D$31</definedName>
    <definedName name="Vsto_1">'User'!$J$11</definedName>
    <definedName name="Vsto_2">'User'!$J$12</definedName>
    <definedName name="Vsto_3">'User'!$J$13</definedName>
    <definedName name="Vsto_4">'User'!$J$14</definedName>
    <definedName name="Vsto_5">'User'!$J$15</definedName>
    <definedName name="Zapf">'Parameter'!$E$11</definedName>
    <definedName name="Zapfprofil">'Parameter'!$E$10</definedName>
  </definedNames>
  <calcPr fullCalcOnLoad="1"/>
</workbook>
</file>

<file path=xl/sharedStrings.xml><?xml version="1.0" encoding="utf-8"?>
<sst xmlns="http://schemas.openxmlformats.org/spreadsheetml/2006/main" count="188" uniqueCount="96">
  <si>
    <t>200 l/d</t>
  </si>
  <si>
    <t>300 l/d</t>
  </si>
  <si>
    <t xml:space="preserve">Würzburg </t>
  </si>
  <si>
    <t xml:space="preserve">Athen </t>
  </si>
  <si>
    <t xml:space="preserve">Davos </t>
  </si>
  <si>
    <t xml:space="preserve">Stockholm </t>
  </si>
  <si>
    <t>Standort</t>
  </si>
  <si>
    <t>Zapfprofil</t>
  </si>
  <si>
    <t>System</t>
  </si>
  <si>
    <t>Berechnung von fso = f(Ac, Vsto), mit:</t>
  </si>
  <si>
    <t>Kollektor</t>
  </si>
  <si>
    <t>eta0</t>
  </si>
  <si>
    <t>a1</t>
  </si>
  <si>
    <t>a2</t>
  </si>
  <si>
    <t>Typ</t>
  </si>
  <si>
    <t>Speicher</t>
  </si>
  <si>
    <t>heat loss ratio</t>
  </si>
  <si>
    <t>vertical heat conductivity</t>
  </si>
  <si>
    <t>Aux Heating</t>
  </si>
  <si>
    <t>Pos T1</t>
  </si>
  <si>
    <t>Pos T2</t>
  </si>
  <si>
    <t>none</t>
  </si>
  <si>
    <t>FK1 (1)</t>
  </si>
  <si>
    <t>FK2 (2)</t>
  </si>
  <si>
    <t>VR (3)</t>
  </si>
  <si>
    <t>very low (1)</t>
  </si>
  <si>
    <t>low (2)</t>
  </si>
  <si>
    <t>medium (3)</t>
  </si>
  <si>
    <t>high (4)</t>
  </si>
  <si>
    <t>40% (1)</t>
  </si>
  <si>
    <t>0% (4)</t>
  </si>
  <si>
    <t>Würzburg</t>
  </si>
  <si>
    <t>Athen</t>
  </si>
  <si>
    <t>Stockholm</t>
  </si>
  <si>
    <t>alpha1</t>
  </si>
  <si>
    <t>alpha2</t>
  </si>
  <si>
    <t>alpha3</t>
  </si>
  <si>
    <t>alpha4</t>
  </si>
  <si>
    <t>alpha5</t>
  </si>
  <si>
    <t>alpha6</t>
  </si>
  <si>
    <t>alpha7</t>
  </si>
  <si>
    <t>alpha8</t>
  </si>
  <si>
    <t>N</t>
  </si>
  <si>
    <t>110 l/d</t>
  </si>
  <si>
    <t>System1</t>
  </si>
  <si>
    <t>System2</t>
  </si>
  <si>
    <t>System3</t>
  </si>
  <si>
    <t>System4</t>
  </si>
  <si>
    <t>System5</t>
  </si>
  <si>
    <t>D1</t>
  </si>
  <si>
    <t>D2</t>
  </si>
  <si>
    <t>D3</t>
  </si>
  <si>
    <t>D4</t>
  </si>
  <si>
    <t>D5</t>
  </si>
  <si>
    <t>Dfsol</t>
  </si>
  <si>
    <t>S/Z/H</t>
  </si>
  <si>
    <t>a3</t>
  </si>
  <si>
    <t>a4</t>
  </si>
  <si>
    <t>a6</t>
  </si>
  <si>
    <t>a7</t>
  </si>
  <si>
    <t>a8</t>
  </si>
  <si>
    <t>Ac [m²]</t>
  </si>
  <si>
    <t>Vsto [m³]</t>
  </si>
  <si>
    <t>fsol [-]</t>
  </si>
  <si>
    <t>Vsto/Ac</t>
  </si>
  <si>
    <t xml:space="preserve"> </t>
  </si>
  <si>
    <t>45% (2)</t>
  </si>
  <si>
    <t>50% (3)</t>
  </si>
  <si>
    <t>fsol [-] 
measured</t>
  </si>
  <si>
    <t>fsol [-] 
calc</t>
  </si>
  <si>
    <t>Delta
[%]</t>
  </si>
  <si>
    <t>Thermo</t>
  </si>
  <si>
    <t>Location</t>
  </si>
  <si>
    <t>Type of System</t>
  </si>
  <si>
    <t>Input</t>
  </si>
  <si>
    <t>Results</t>
  </si>
  <si>
    <t>Basic Assumption:</t>
  </si>
  <si>
    <t>Specification of the systems tested (DST)</t>
  </si>
  <si>
    <t>System to be Extrapolated</t>
  </si>
  <si>
    <t>Parameter specification</t>
  </si>
  <si>
    <t xml:space="preserve">Discrepancy </t>
  </si>
  <si>
    <t xml:space="preserve"> fsol is a function of collector size and storage volume</t>
  </si>
  <si>
    <t>Solar Only*</t>
  </si>
  <si>
    <t>Thermosyphon*</t>
  </si>
  <si>
    <t>chosen</t>
  </si>
  <si>
    <t>Water demand</t>
  </si>
  <si>
    <t># of Systems</t>
  </si>
  <si>
    <t>Hot Water Demand</t>
  </si>
  <si>
    <t>Number of 
systems tested</t>
  </si>
  <si>
    <t>Tabular Overview</t>
  </si>
  <si>
    <t xml:space="preserve"> FK1</t>
  </si>
  <si>
    <t xml:space="preserve"> FK2</t>
  </si>
  <si>
    <t xml:space="preserve"> VR</t>
  </si>
  <si>
    <t>relDelta</t>
  </si>
  <si>
    <t>absDelta</t>
  </si>
  <si>
    <r>
      <t xml:space="preserve"> </t>
    </r>
    <r>
      <rPr>
        <sz val="11"/>
        <color theme="1"/>
        <rFont val="Calibri"/>
        <family val="2"/>
      </rPr>
      <t xml:space="preserve">* </t>
    </r>
    <r>
      <rPr>
        <sz val="9"/>
        <color indexed="8"/>
        <rFont val="Calibri"/>
        <family val="2"/>
      </rPr>
      <t>Thermosyphon: System without auxiliary  
                       heating and a storage outside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</si>
</sst>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  <numFmt numFmtId="169" formatCode="0.00000"/>
    <numFmt numFmtId="170" formatCode="0.000"/>
    <numFmt numFmtId="171" formatCode="0.000000"/>
    <numFmt numFmtId="172" formatCode="[$-407]dddd\,\ d\.\ mmmm\ yyyy"/>
    <numFmt numFmtId="173" formatCode="d/m/yy\ h:mm;@"/>
    <numFmt numFmtId="174" formatCode="0.0"/>
    <numFmt numFmtId="175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9" fontId="7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34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9" borderId="0" xfId="0" applyFont="1" applyFill="1" applyAlignment="1">
      <alignment horizontal="left"/>
    </xf>
    <xf numFmtId="9" fontId="4" fillId="0" borderId="0" xfId="0" applyNumberFormat="1" applyFont="1" applyAlignment="1">
      <alignment horizontal="left"/>
    </xf>
    <xf numFmtId="9" fontId="4" fillId="0" borderId="0" xfId="0" applyNumberFormat="1" applyFont="1" applyBorder="1" applyAlignment="1">
      <alignment horizontal="left" wrapText="1"/>
    </xf>
    <xf numFmtId="9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0" fillId="41" borderId="1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right" wrapText="1"/>
    </xf>
    <xf numFmtId="170" fontId="4" fillId="41" borderId="10" xfId="0" applyNumberFormat="1" applyFont="1" applyFill="1" applyBorder="1" applyAlignment="1">
      <alignment horizontal="left" wrapText="1"/>
    </xf>
    <xf numFmtId="170" fontId="4" fillId="41" borderId="12" xfId="0" applyNumberFormat="1" applyFont="1" applyFill="1" applyBorder="1" applyAlignment="1">
      <alignment horizontal="left" wrapText="1"/>
    </xf>
    <xf numFmtId="0" fontId="0" fillId="40" borderId="10" xfId="0" applyFill="1" applyBorder="1" applyAlignment="1" applyProtection="1">
      <alignment/>
      <protection locked="0"/>
    </xf>
    <xf numFmtId="169" fontId="6" fillId="0" borderId="0" xfId="0" applyNumberFormat="1" applyFont="1" applyAlignment="1">
      <alignment horizontal="right"/>
    </xf>
    <xf numFmtId="169" fontId="4" fillId="34" borderId="0" xfId="0" applyNumberFormat="1" applyFont="1" applyFill="1" applyAlignment="1">
      <alignment horizontal="right"/>
    </xf>
    <xf numFmtId="169" fontId="5" fillId="33" borderId="10" xfId="0" applyNumberFormat="1" applyFont="1" applyFill="1" applyBorder="1" applyAlignment="1">
      <alignment horizontal="right"/>
    </xf>
    <xf numFmtId="169" fontId="5" fillId="42" borderId="10" xfId="0" applyNumberFormat="1" applyFont="1" applyFill="1" applyBorder="1" applyAlignment="1">
      <alignment horizontal="right"/>
    </xf>
    <xf numFmtId="169" fontId="4" fillId="41" borderId="10" xfId="0" applyNumberFormat="1" applyFont="1" applyFill="1" applyBorder="1" applyAlignment="1">
      <alignment horizontal="right" wrapText="1"/>
    </xf>
    <xf numFmtId="169" fontId="4" fillId="41" borderId="12" xfId="0" applyNumberFormat="1" applyFont="1" applyFill="1" applyBorder="1" applyAlignment="1">
      <alignment horizontal="right" wrapText="1"/>
    </xf>
    <xf numFmtId="169" fontId="4" fillId="0" borderId="11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169" fontId="4" fillId="0" borderId="0" xfId="0" applyNumberFormat="1" applyFont="1" applyFill="1" applyAlignment="1">
      <alignment horizontal="right"/>
    </xf>
    <xf numFmtId="169" fontId="4" fillId="39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40" borderId="1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44" borderId="10" xfId="0" applyFont="1" applyFill="1" applyBorder="1" applyAlignment="1" applyProtection="1">
      <alignment/>
      <protection/>
    </xf>
    <xf numFmtId="0" fontId="0" fillId="40" borderId="10" xfId="0" applyNumberFormat="1" applyFill="1" applyBorder="1" applyAlignment="1" applyProtection="1">
      <alignment/>
      <protection/>
    </xf>
    <xf numFmtId="169" fontId="4" fillId="34" borderId="0" xfId="0" applyNumberFormat="1" applyFont="1" applyFill="1" applyBorder="1" applyAlignment="1" applyProtection="1">
      <alignment/>
      <protection/>
    </xf>
    <xf numFmtId="0" fontId="0" fillId="45" borderId="10" xfId="0" applyFill="1" applyBorder="1" applyAlignment="1" applyProtection="1">
      <alignment/>
      <protection/>
    </xf>
    <xf numFmtId="170" fontId="0" fillId="34" borderId="10" xfId="0" applyNumberFormat="1" applyFill="1" applyBorder="1" applyAlignment="1" applyProtection="1">
      <alignment/>
      <protection/>
    </xf>
    <xf numFmtId="0" fontId="8" fillId="4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45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73" fontId="8" fillId="0" borderId="0" xfId="0" applyNumberFormat="1" applyFont="1" applyFill="1" applyBorder="1" applyAlignment="1" applyProtection="1">
      <alignment/>
      <protection hidden="1"/>
    </xf>
    <xf numFmtId="174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45" borderId="0" xfId="0" applyFont="1" applyFill="1" applyAlignment="1" applyProtection="1">
      <alignment/>
      <protection locked="0"/>
    </xf>
    <xf numFmtId="0" fontId="8" fillId="45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left" vertical="top" indent="6"/>
      <protection/>
    </xf>
    <xf numFmtId="0" fontId="0" fillId="0" borderId="0" xfId="0" applyBorder="1" applyAlignment="1" applyProtection="1">
      <alignment horizontal="left" vertical="top" indent="6"/>
      <protection/>
    </xf>
    <xf numFmtId="0" fontId="0" fillId="34" borderId="0" xfId="0" applyFill="1" applyAlignment="1" applyProtection="1">
      <alignment vertical="center" wrapText="1"/>
      <protection/>
    </xf>
    <xf numFmtId="0" fontId="3" fillId="46" borderId="10" xfId="0" applyFont="1" applyFill="1" applyBorder="1" applyAlignment="1" applyProtection="1">
      <alignment/>
      <protection/>
    </xf>
    <xf numFmtId="170" fontId="0" fillId="34" borderId="0" xfId="0" applyNumberFormat="1" applyFill="1" applyAlignment="1" applyProtection="1">
      <alignment/>
      <protection/>
    </xf>
    <xf numFmtId="170" fontId="0" fillId="40" borderId="10" xfId="0" applyNumberFormat="1" applyFill="1" applyBorder="1" applyAlignment="1" applyProtection="1">
      <alignment/>
      <protection/>
    </xf>
    <xf numFmtId="169" fontId="0" fillId="41" borderId="10" xfId="0" applyNumberFormat="1" applyFill="1" applyBorder="1" applyAlignment="1" applyProtection="1">
      <alignment/>
      <protection/>
    </xf>
    <xf numFmtId="0" fontId="0" fillId="47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47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3" fillId="48" borderId="10" xfId="0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68" fontId="4" fillId="0" borderId="0" xfId="0" applyNumberFormat="1" applyFont="1" applyAlignment="1" applyProtection="1">
      <alignment horizontal="right"/>
      <protection locked="0"/>
    </xf>
    <xf numFmtId="168" fontId="4" fillId="0" borderId="0" xfId="0" applyNumberFormat="1" applyFont="1" applyAlignment="1">
      <alignment horizontal="right"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47" borderId="0" xfId="0" applyFill="1" applyBorder="1" applyAlignment="1" applyProtection="1">
      <alignment/>
      <protection/>
    </xf>
    <xf numFmtId="169" fontId="0" fillId="47" borderId="0" xfId="0" applyNumberFormat="1" applyFill="1" applyBorder="1" applyAlignment="1" applyProtection="1">
      <alignment/>
      <protection/>
    </xf>
    <xf numFmtId="0" fontId="11" fillId="47" borderId="0" xfId="0" applyFont="1" applyFill="1" applyBorder="1" applyAlignment="1" applyProtection="1">
      <alignment wrapText="1"/>
      <protection/>
    </xf>
    <xf numFmtId="0" fontId="0" fillId="47" borderId="0" xfId="0" applyFill="1" applyAlignment="1">
      <alignment/>
    </xf>
    <xf numFmtId="0" fontId="35" fillId="47" borderId="0" xfId="0" applyFont="1" applyFill="1" applyAlignment="1" applyProtection="1">
      <alignment/>
      <protection/>
    </xf>
    <xf numFmtId="169" fontId="4" fillId="0" borderId="0" xfId="0" applyNumberFormat="1" applyFont="1" applyAlignment="1" applyProtection="1">
      <alignment horizontal="right"/>
      <protection locked="0"/>
    </xf>
    <xf numFmtId="0" fontId="3" fillId="46" borderId="12" xfId="0" applyFont="1" applyFill="1" applyBorder="1" applyAlignment="1" applyProtection="1">
      <alignment vertical="top" wrapText="1"/>
      <protection/>
    </xf>
    <xf numFmtId="0" fontId="3" fillId="46" borderId="14" xfId="0" applyFont="1" applyFill="1" applyBorder="1" applyAlignment="1" applyProtection="1">
      <alignment vertical="top"/>
      <protection/>
    </xf>
    <xf numFmtId="0" fontId="3" fillId="47" borderId="0" xfId="0" applyFont="1" applyFill="1" applyAlignment="1" applyProtection="1">
      <alignment/>
      <protection/>
    </xf>
    <xf numFmtId="0" fontId="52" fillId="47" borderId="0" xfId="0" applyFont="1" applyFill="1" applyBorder="1" applyAlignment="1" applyProtection="1">
      <alignment horizontal="left"/>
      <protection/>
    </xf>
    <xf numFmtId="0" fontId="35" fillId="47" borderId="0" xfId="0" applyFont="1" applyFill="1" applyBorder="1" applyAlignment="1" applyProtection="1">
      <alignment horizontal="left"/>
      <protection locked="0"/>
    </xf>
    <xf numFmtId="0" fontId="52" fillId="47" borderId="0" xfId="0" applyFont="1" applyFill="1" applyBorder="1" applyAlignment="1" applyProtection="1">
      <alignment horizontal="left" vertical="center"/>
      <protection/>
    </xf>
    <xf numFmtId="0" fontId="3" fillId="46" borderId="10" xfId="0" applyFont="1" applyFill="1" applyBorder="1" applyAlignment="1" applyProtection="1">
      <alignment vertical="top"/>
      <protection/>
    </xf>
    <xf numFmtId="0" fontId="3" fillId="46" borderId="10" xfId="0" applyFont="1" applyFill="1" applyBorder="1" applyAlignment="1" applyProtection="1">
      <alignment vertical="top"/>
      <protection/>
    </xf>
    <xf numFmtId="0" fontId="3" fillId="46" borderId="10" xfId="0" applyFont="1" applyFill="1" applyBorder="1" applyAlignment="1" applyProtection="1">
      <alignment vertical="top" wrapText="1"/>
      <protection/>
    </xf>
    <xf numFmtId="0" fontId="10" fillId="34" borderId="0" xfId="0" applyFont="1" applyFill="1" applyAlignment="1" applyProtection="1">
      <alignment horizontal="left" vertical="top" wrapText="1" indent="3"/>
      <protection/>
    </xf>
    <xf numFmtId="0" fontId="0" fillId="34" borderId="0" xfId="0" applyFill="1" applyAlignment="1" applyProtection="1">
      <alignment horizontal="left" vertical="top" wrapText="1" indent="3"/>
      <protection/>
    </xf>
    <xf numFmtId="0" fontId="0" fillId="0" borderId="0" xfId="0" applyAlignment="1">
      <alignment horizontal="left" vertical="top" wrapText="1" indent="3"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9" fillId="3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9" fillId="34" borderId="0" xfId="0" applyFont="1" applyFill="1" applyBorder="1" applyAlignment="1" applyProtection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46" borderId="10" xfId="0" applyFill="1" applyBorder="1" applyAlignment="1" applyProtection="1">
      <alignment vertical="top"/>
      <protection/>
    </xf>
    <xf numFmtId="0" fontId="30" fillId="47" borderId="0" xfId="0" applyFont="1" applyFill="1" applyAlignment="1" applyProtection="1">
      <alignment vertical="center" wrapText="1"/>
      <protection/>
    </xf>
    <xf numFmtId="0" fontId="53" fillId="47" borderId="0" xfId="0" applyFont="1" applyFill="1" applyAlignment="1">
      <alignment vertical="center" wrapText="1"/>
    </xf>
    <xf numFmtId="0" fontId="54" fillId="47" borderId="18" xfId="0" applyFont="1" applyFill="1" applyBorder="1" applyAlignment="1">
      <alignment wrapText="1"/>
    </xf>
    <xf numFmtId="0" fontId="0" fillId="47" borderId="19" xfId="0" applyFill="1" applyBorder="1" applyAlignment="1">
      <alignment/>
    </xf>
    <xf numFmtId="0" fontId="0" fillId="47" borderId="20" xfId="0" applyFill="1" applyBorder="1" applyAlignment="1">
      <alignment/>
    </xf>
    <xf numFmtId="0" fontId="3" fillId="34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3" fillId="34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2" fillId="47" borderId="0" xfId="0" applyFont="1" applyFill="1" applyBorder="1" applyAlignment="1" applyProtection="1">
      <alignment vertical="center" wrapText="1"/>
      <protection/>
    </xf>
    <xf numFmtId="0" fontId="35" fillId="47" borderId="0" xfId="0" applyFont="1" applyFill="1" applyBorder="1" applyAlignment="1">
      <alignment vertical="center" wrapText="1"/>
    </xf>
    <xf numFmtId="0" fontId="0" fillId="34" borderId="16" xfId="0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34" borderId="0" xfId="0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16" xfId="0" applyBorder="1" applyAlignment="1" applyProtection="1">
      <alignment horizontal="left" wrapText="1"/>
      <protection/>
    </xf>
    <xf numFmtId="0" fontId="3" fillId="46" borderId="10" xfId="0" applyFont="1" applyFill="1" applyBorder="1" applyAlignment="1" applyProtection="1">
      <alignment vertical="top" wrapText="1"/>
      <protection/>
    </xf>
    <xf numFmtId="0" fontId="8" fillId="4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5" fillId="37" borderId="16" xfId="0" applyFont="1" applyFill="1" applyBorder="1" applyAlignment="1">
      <alignment/>
    </xf>
    <xf numFmtId="0" fontId="0" fillId="0" borderId="16" xfId="0" applyBorder="1" applyAlignment="1">
      <alignment/>
    </xf>
    <xf numFmtId="0" fontId="5" fillId="33" borderId="16" xfId="0" applyFont="1" applyFill="1" applyBorder="1" applyAlignment="1">
      <alignment/>
    </xf>
    <xf numFmtId="169" fontId="5" fillId="42" borderId="10" xfId="0" applyNumberFormat="1" applyFont="1" applyFill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0" fontId="6" fillId="41" borderId="0" xfId="0" applyFont="1" applyFill="1" applyAlignment="1">
      <alignment/>
    </xf>
    <xf numFmtId="0" fontId="6" fillId="0" borderId="0" xfId="0" applyFont="1" applyAlignment="1">
      <alignment/>
    </xf>
    <xf numFmtId="0" fontId="5" fillId="38" borderId="16" xfId="0" applyFont="1" applyFill="1" applyBorder="1" applyAlignment="1">
      <alignment/>
    </xf>
    <xf numFmtId="0" fontId="4" fillId="40" borderId="10" xfId="0" applyFont="1" applyFill="1" applyBorder="1" applyAlignment="1">
      <alignment horizontal="justify"/>
    </xf>
    <xf numFmtId="0" fontId="0" fillId="0" borderId="18" xfId="0" applyBorder="1" applyAlignment="1">
      <alignment/>
    </xf>
    <xf numFmtId="0" fontId="5" fillId="42" borderId="18" xfId="0" applyFont="1" applyFill="1" applyBorder="1" applyAlignment="1">
      <alignment/>
    </xf>
    <xf numFmtId="0" fontId="0" fillId="0" borderId="19" xfId="0" applyBorder="1" applyAlignment="1">
      <alignment/>
    </xf>
    <xf numFmtId="2" fontId="4" fillId="4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fsol(Ac,Vsto)</a:t>
            </a:r>
          </a:p>
        </c:rich>
      </c:tx>
      <c:layout/>
      <c:spPr>
        <a:noFill/>
        <a:ln>
          <a:noFill/>
        </a:ln>
      </c:spPr>
    </c:title>
    <c:view3D>
      <c:rotX val="10"/>
      <c:rotY val="40"/>
      <c:depthPercent val="100"/>
      <c:rAngAx val="0"/>
      <c:perspective val="0"/>
    </c:view3D>
    <c:plotArea>
      <c:layout>
        <c:manualLayout>
          <c:xMode val="edge"/>
          <c:yMode val="edge"/>
          <c:x val="0.117"/>
          <c:y val="0.12075"/>
          <c:w val="0.84825"/>
          <c:h val="0.738"/>
        </c:manualLayout>
      </c:layout>
      <c:surface3DChart>
        <c:ser>
          <c:idx val="0"/>
          <c:order val="0"/>
          <c:tx>
            <c:v>2</c:v>
          </c:tx>
          <c:spPr>
            <a:solidFill>
              <a:srgbClr val="365A8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sp3d prstMaterial="flat"/>
            </c:spPr>
          </c:dPt>
          <c:cat>
            <c:numRef>
              <c:f>User!$L$35:$L$39</c:f>
              <c:numCache/>
            </c:numRef>
          </c:cat>
          <c:val>
            <c:numRef>
              <c:f>User!$M$35:$M$39</c:f>
              <c:numCache/>
            </c:numRef>
          </c:val>
        </c:ser>
        <c:ser>
          <c:idx val="1"/>
          <c:order val="1"/>
          <c:tx>
            <c:v>3</c:v>
          </c:tx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User!$N$35:$N$39</c:f>
              <c:numCache/>
            </c:numRef>
          </c:val>
        </c:ser>
        <c:ser>
          <c:idx val="2"/>
          <c:order val="2"/>
          <c:tx>
            <c:v>4</c:v>
          </c:tx>
          <c:spPr>
            <a:solidFill>
              <a:srgbClr val="4876A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User!$O$35:$O$39</c:f>
              <c:numCache/>
            </c:numRef>
          </c:val>
        </c:ser>
        <c:ser>
          <c:idx val="3"/>
          <c:order val="3"/>
          <c:tx>
            <c:v>5</c:v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User!$P$35:$P$39</c:f>
              <c:numCache/>
            </c:numRef>
          </c:val>
        </c:ser>
        <c:ser>
          <c:idx val="4"/>
          <c:order val="4"/>
          <c:tx>
            <c:v>6</c:v>
          </c:tx>
          <c:spPr>
            <a:solidFill>
              <a:srgbClr val="85A0C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User!$Q$35:$Q$39</c:f>
              <c:numCache/>
            </c:numRef>
          </c:val>
        </c:ser>
        <c:ser>
          <c:idx val="5"/>
          <c:order val="5"/>
          <c:tx>
            <c:v>7</c:v>
          </c:tx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User!$R$35:$R$39</c:f>
              <c:numCache/>
            </c:numRef>
          </c:val>
        </c:ser>
        <c:ser>
          <c:idx val="6"/>
          <c:order val="6"/>
          <c:tx>
            <c:v>8</c:v>
          </c:tx>
          <c:spPr>
            <a:solidFill>
              <a:srgbClr val="C5CF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User!$L$35:$L$39</c:f>
              <c:numCache/>
            </c:numRef>
          </c:cat>
          <c:val>
            <c:numRef>
              <c:f>User!$S$35:$S$39</c:f>
              <c:numCache/>
            </c:numRef>
          </c:val>
        </c:ser>
        <c:axId val="35251920"/>
        <c:axId val="48831825"/>
        <c:axId val="36833242"/>
      </c:surface3D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Vsto [m³]</a:t>
                </a:r>
              </a:p>
            </c:rich>
          </c:tx>
          <c:layout>
            <c:manualLayout>
              <c:xMode val="factor"/>
              <c:yMode val="factor"/>
              <c:x val="0.14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fsol [-]</a:t>
                </a:r>
              </a:p>
            </c:rich>
          </c:tx>
          <c:layout>
            <c:manualLayout>
              <c:xMode val="factor"/>
              <c:yMode val="factor"/>
              <c:x val="-0.115"/>
              <c:y val="0.0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920"/>
        <c:crossesAt val="1"/>
        <c:crossBetween val="midCat"/>
        <c:dispUnits/>
      </c:valAx>
      <c:ser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 [m²]</a:t>
                </a:r>
              </a:p>
            </c:rich>
          </c:tx>
          <c:layout>
            <c:manualLayout>
              <c:xMode val="factor"/>
              <c:yMode val="factor"/>
              <c:x val="-0.179"/>
              <c:y val="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8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57150</xdr:rowOff>
    </xdr:from>
    <xdr:to>
      <xdr:col>10</xdr:col>
      <xdr:colOff>542925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305175"/>
          <a:ext cx="424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28575</xdr:rowOff>
    </xdr:from>
    <xdr:to>
      <xdr:col>10</xdr:col>
      <xdr:colOff>238125</xdr:colOff>
      <xdr:row>52</xdr:row>
      <xdr:rowOff>152400</xdr:rowOff>
    </xdr:to>
    <xdr:graphicFrame>
      <xdr:nvGraphicFramePr>
        <xdr:cNvPr id="2" name="Diagramm 5"/>
        <xdr:cNvGraphicFramePr/>
      </xdr:nvGraphicFramePr>
      <xdr:xfrm>
        <a:off x="180975" y="9353550"/>
        <a:ext cx="58864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142875</xdr:rowOff>
    </xdr:from>
    <xdr:to>
      <xdr:col>12</xdr:col>
      <xdr:colOff>495300</xdr:colOff>
      <xdr:row>0</xdr:row>
      <xdr:rowOff>1266825</xdr:rowOff>
    </xdr:to>
    <xdr:pic>
      <xdr:nvPicPr>
        <xdr:cNvPr id="3" name="Picture 2115"/>
        <xdr:cNvPicPr preferRelativeResize="1">
          <a:picLocks noChangeAspect="1"/>
        </xdr:cNvPicPr>
      </xdr:nvPicPr>
      <xdr:blipFill>
        <a:blip r:embed="rId3"/>
        <a:srcRect t="21330" b="6753"/>
        <a:stretch>
          <a:fillRect/>
        </a:stretch>
      </xdr:blipFill>
      <xdr:spPr>
        <a:xfrm>
          <a:off x="0" y="142875"/>
          <a:ext cx="7600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0</xdr:rowOff>
    </xdr:from>
    <xdr:to>
      <xdr:col>10</xdr:col>
      <xdr:colOff>123825</xdr:colOff>
      <xdr:row>2</xdr:row>
      <xdr:rowOff>161925</xdr:rowOff>
    </xdr:to>
    <xdr:pic>
      <xdr:nvPicPr>
        <xdr:cNvPr id="4" name="Picture 2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1409700"/>
          <a:ext cx="5057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15</xdr:row>
      <xdr:rowOff>133350</xdr:rowOff>
    </xdr:from>
    <xdr:to>
      <xdr:col>9</xdr:col>
      <xdr:colOff>85725</xdr:colOff>
      <xdr:row>17</xdr:row>
      <xdr:rowOff>95250</xdr:rowOff>
    </xdr:to>
    <xdr:pic>
      <xdr:nvPicPr>
        <xdr:cNvPr id="5" name="Ru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5772150"/>
          <a:ext cx="1257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209550</xdr:rowOff>
    </xdr:from>
    <xdr:to>
      <xdr:col>6</xdr:col>
      <xdr:colOff>828675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8150"/>
          <a:ext cx="4133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51"/>
  <sheetViews>
    <sheetView tabSelected="1" zoomScalePageLayoutView="0" workbookViewId="0" topLeftCell="A11">
      <selection activeCell="L27" sqref="L27"/>
    </sheetView>
  </sheetViews>
  <sheetFormatPr defaultColWidth="11.00390625" defaultRowHeight="15"/>
  <cols>
    <col min="1" max="1" width="5.28125" style="50" customWidth="1"/>
    <col min="2" max="2" width="8.7109375" style="50" customWidth="1"/>
    <col min="3" max="3" width="9.140625" style="50" customWidth="1"/>
    <col min="4" max="4" width="8.7109375" style="50" customWidth="1"/>
    <col min="5" max="5" width="9.140625" style="50" customWidth="1"/>
    <col min="6" max="6" width="10.28125" style="50" customWidth="1"/>
    <col min="7" max="7" width="9.8515625" style="50" customWidth="1"/>
    <col min="8" max="8" width="7.7109375" style="50" customWidth="1"/>
    <col min="9" max="9" width="9.7109375" style="50" customWidth="1"/>
    <col min="10" max="10" width="8.8515625" style="50" customWidth="1"/>
    <col min="11" max="12" width="9.57421875" style="50" customWidth="1"/>
    <col min="13" max="13" width="8.421875" style="50" customWidth="1"/>
    <col min="14" max="14" width="7.421875" style="50" bestFit="1" customWidth="1"/>
    <col min="15" max="15" width="9.28125" style="50" customWidth="1"/>
    <col min="16" max="16" width="8.7109375" style="50" bestFit="1" customWidth="1"/>
    <col min="17" max="17" width="7.7109375" style="50" bestFit="1" customWidth="1"/>
    <col min="18" max="18" width="5.7109375" style="50" bestFit="1" customWidth="1"/>
    <col min="19" max="19" width="5.57421875" style="50" bestFit="1" customWidth="1"/>
    <col min="20" max="20" width="7.00390625" style="50" customWidth="1"/>
    <col min="21" max="21" width="9.00390625" style="50" customWidth="1"/>
    <col min="22" max="16384" width="11.00390625" style="50" customWidth="1"/>
  </cols>
  <sheetData>
    <row r="1" spans="1:14" ht="111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s="47" customFormat="1" ht="100.5" customHeight="1">
      <c r="A2" s="78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79"/>
      <c r="O2" s="71"/>
      <c r="P2" s="71"/>
      <c r="Q2" s="71"/>
      <c r="R2" s="71"/>
    </row>
    <row r="3" spans="2:9" s="49" customFormat="1" ht="15">
      <c r="B3" s="48"/>
      <c r="C3" s="48"/>
      <c r="D3" s="48"/>
      <c r="E3" s="48"/>
      <c r="F3" s="48"/>
      <c r="G3" s="48"/>
      <c r="H3" s="48"/>
      <c r="I3" s="48"/>
    </row>
    <row r="4" spans="2:9" s="49" customFormat="1" ht="29.25" customHeight="1">
      <c r="B4" s="102" t="s">
        <v>76</v>
      </c>
      <c r="C4" s="103"/>
      <c r="D4" s="104"/>
      <c r="E4" s="105" t="s">
        <v>81</v>
      </c>
      <c r="F4" s="106"/>
      <c r="G4" s="106"/>
      <c r="H4" s="106"/>
      <c r="I4" s="106"/>
    </row>
    <row r="5" spans="2:9" s="49" customFormat="1" ht="15">
      <c r="B5" s="48"/>
      <c r="C5" s="48"/>
      <c r="D5" s="48"/>
      <c r="E5" s="48"/>
      <c r="F5" s="48"/>
      <c r="G5" s="48"/>
      <c r="H5" s="48"/>
      <c r="I5" s="48"/>
    </row>
    <row r="6" spans="2:9" s="49" customFormat="1" ht="15">
      <c r="B6" s="48"/>
      <c r="C6" s="48"/>
      <c r="D6" s="48"/>
      <c r="E6" s="48"/>
      <c r="F6" s="48"/>
      <c r="G6" s="48"/>
      <c r="H6" s="48"/>
      <c r="I6" s="48"/>
    </row>
    <row r="7" ht="15"/>
    <row r="9" spans="2:3" ht="34.5" customHeight="1">
      <c r="B9" s="107" t="s">
        <v>74</v>
      </c>
      <c r="C9" s="108"/>
    </row>
    <row r="10" spans="2:12" ht="18.75" customHeight="1">
      <c r="B10" s="128" t="s">
        <v>72</v>
      </c>
      <c r="C10" s="129"/>
      <c r="E10" s="69"/>
      <c r="F10" s="110" t="s">
        <v>77</v>
      </c>
      <c r="G10" s="111"/>
      <c r="H10" s="72" t="s">
        <v>8</v>
      </c>
      <c r="I10" s="72" t="s">
        <v>61</v>
      </c>
      <c r="J10" s="72" t="s">
        <v>62</v>
      </c>
      <c r="K10" s="72" t="s">
        <v>63</v>
      </c>
      <c r="L10" s="51"/>
    </row>
    <row r="11" spans="5:12" ht="15">
      <c r="E11" s="70"/>
      <c r="F11" s="112"/>
      <c r="G11" s="113"/>
      <c r="H11" s="72">
        <v>1</v>
      </c>
      <c r="I11" s="31"/>
      <c r="J11" s="31"/>
      <c r="K11" s="31"/>
      <c r="L11" s="51"/>
    </row>
    <row r="12" spans="2:12" ht="15">
      <c r="B12" s="128" t="s">
        <v>87</v>
      </c>
      <c r="C12" s="129"/>
      <c r="H12" s="72">
        <v>2</v>
      </c>
      <c r="I12" s="31"/>
      <c r="J12" s="31"/>
      <c r="K12" s="31"/>
      <c r="L12" s="51"/>
    </row>
    <row r="13" spans="2:19" ht="15">
      <c r="B13" s="51"/>
      <c r="H13" s="72">
        <v>3</v>
      </c>
      <c r="I13" s="31"/>
      <c r="J13" s="31"/>
      <c r="K13" s="31"/>
      <c r="L13" s="51"/>
      <c r="P13" s="76"/>
      <c r="Q13" s="76"/>
      <c r="R13" s="76"/>
      <c r="S13" s="76"/>
    </row>
    <row r="14" spans="2:19" ht="15">
      <c r="B14" s="130" t="s">
        <v>88</v>
      </c>
      <c r="C14" s="131"/>
      <c r="H14" s="72">
        <v>4</v>
      </c>
      <c r="I14" s="31"/>
      <c r="J14" s="31"/>
      <c r="K14" s="31"/>
      <c r="P14" s="76"/>
      <c r="Q14" s="76"/>
      <c r="R14" s="76"/>
      <c r="S14" s="76"/>
    </row>
    <row r="15" spans="2:19" ht="15">
      <c r="B15" s="132"/>
      <c r="C15" s="129"/>
      <c r="H15" s="72">
        <v>5</v>
      </c>
      <c r="I15" s="31"/>
      <c r="J15" s="31"/>
      <c r="K15" s="31"/>
      <c r="P15" s="76"/>
      <c r="Q15" s="76"/>
      <c r="R15" s="76"/>
      <c r="S15" s="76"/>
    </row>
    <row r="16" spans="16:19" ht="15">
      <c r="P16" s="76"/>
      <c r="Q16" s="76"/>
      <c r="R16" s="76"/>
      <c r="S16" s="76"/>
    </row>
    <row r="17" spans="2:19" ht="15">
      <c r="B17" s="128" t="s">
        <v>73</v>
      </c>
      <c r="C17" s="129"/>
      <c r="D17" s="51"/>
      <c r="E17" s="51"/>
      <c r="F17" s="51"/>
      <c r="G17" s="51"/>
      <c r="P17" s="76"/>
      <c r="Q17" s="76"/>
      <c r="R17" s="76"/>
      <c r="S17" s="76"/>
    </row>
    <row r="18" spans="2:19" ht="15">
      <c r="B18" s="87"/>
      <c r="C18" s="87"/>
      <c r="D18" s="87"/>
      <c r="E18" s="87"/>
      <c r="F18" s="87"/>
      <c r="G18" s="51"/>
      <c r="N18" s="73"/>
      <c r="P18" s="76"/>
      <c r="Q18" s="76"/>
      <c r="R18" s="76"/>
      <c r="S18" s="76"/>
    </row>
    <row r="19" spans="2:14" ht="10.5" customHeight="1">
      <c r="B19" s="89"/>
      <c r="C19" s="90"/>
      <c r="D19" s="90"/>
      <c r="E19" s="90"/>
      <c r="F19" s="90"/>
      <c r="G19" s="51"/>
      <c r="N19" s="73"/>
    </row>
    <row r="20" spans="2:14" ht="29.25" customHeight="1">
      <c r="B20" s="117" t="s">
        <v>95</v>
      </c>
      <c r="C20" s="118"/>
      <c r="D20" s="118"/>
      <c r="E20" s="119"/>
      <c r="F20" s="90"/>
      <c r="G20" s="51"/>
      <c r="N20" s="73"/>
    </row>
    <row r="21" spans="2:14" ht="28.5" customHeight="1">
      <c r="B21" s="109" t="s">
        <v>75</v>
      </c>
      <c r="C21" s="108"/>
      <c r="D21" s="51"/>
      <c r="E21" s="51"/>
      <c r="F21" s="51"/>
      <c r="G21" s="51"/>
      <c r="N21" s="73"/>
    </row>
    <row r="22" spans="2:20" ht="27" customHeight="1">
      <c r="B22" s="123" t="s">
        <v>78</v>
      </c>
      <c r="C22" s="124"/>
      <c r="D22" s="124"/>
      <c r="E22" s="124"/>
      <c r="F22" s="51"/>
      <c r="G22" s="120" t="s">
        <v>80</v>
      </c>
      <c r="H22" s="121"/>
      <c r="I22" s="121"/>
      <c r="J22" s="121"/>
      <c r="K22" s="121"/>
      <c r="L22" s="121"/>
      <c r="N22" s="76"/>
      <c r="O22" s="76"/>
      <c r="P22" s="76"/>
      <c r="Q22" s="76"/>
      <c r="R22" s="76"/>
      <c r="S22" s="76"/>
      <c r="T22" s="76"/>
    </row>
    <row r="23" spans="2:20" s="53" customFormat="1" ht="15" customHeight="1">
      <c r="B23" s="125"/>
      <c r="C23" s="125"/>
      <c r="D23" s="125"/>
      <c r="E23" s="125"/>
      <c r="G23" s="122"/>
      <c r="H23" s="122"/>
      <c r="I23" s="122"/>
      <c r="J23" s="122"/>
      <c r="K23" s="122"/>
      <c r="L23" s="122"/>
      <c r="N23" s="95"/>
      <c r="O23" s="95"/>
      <c r="P23" s="95"/>
      <c r="Q23" s="95"/>
      <c r="R23" s="95"/>
      <c r="S23" s="95"/>
      <c r="T23" s="95"/>
    </row>
    <row r="24" spans="2:20" ht="30">
      <c r="B24" s="54" t="s">
        <v>8</v>
      </c>
      <c r="C24" s="54" t="s">
        <v>61</v>
      </c>
      <c r="D24" s="54" t="s">
        <v>62</v>
      </c>
      <c r="E24" s="54" t="s">
        <v>63</v>
      </c>
      <c r="G24" s="99" t="s">
        <v>8</v>
      </c>
      <c r="H24" s="99" t="s">
        <v>61</v>
      </c>
      <c r="I24" s="99" t="s">
        <v>62</v>
      </c>
      <c r="J24" s="101" t="s">
        <v>68</v>
      </c>
      <c r="K24" s="93" t="s">
        <v>69</v>
      </c>
      <c r="L24" s="133" t="s">
        <v>70</v>
      </c>
      <c r="M24" s="76"/>
      <c r="N24" s="126" t="s">
        <v>79</v>
      </c>
      <c r="O24" s="127"/>
      <c r="P24" s="127"/>
      <c r="Q24" s="127"/>
      <c r="R24" s="76"/>
      <c r="S24" s="76"/>
      <c r="T24" s="76"/>
    </row>
    <row r="25" spans="2:20" ht="15">
      <c r="B25" s="80">
        <v>1</v>
      </c>
      <c r="C25" s="24"/>
      <c r="D25" s="24"/>
      <c r="E25" s="75">
        <f>IF(Acalc_1*Vcalc_1&gt;0,a_1*Acalc_1^2+a_2*Vcalc_1^2+a_3*Acalc_1*Vcalc_1+a_4*Acalc_1+a_5*Vcalc_1+a_6+a_7*Acalc_1^2*Vcalc_1+a_8*Acalc_1*Vcalc_1^2,"")</f>
      </c>
      <c r="G25" s="114"/>
      <c r="H25" s="100"/>
      <c r="I25" s="100"/>
      <c r="J25" s="100"/>
      <c r="K25" s="94"/>
      <c r="L25" s="100"/>
      <c r="M25" s="76"/>
      <c r="N25" s="127"/>
      <c r="O25" s="127"/>
      <c r="P25" s="127"/>
      <c r="Q25" s="127"/>
      <c r="R25" s="76"/>
      <c r="S25" s="76"/>
      <c r="T25" s="76"/>
    </row>
    <row r="26" spans="2:20" ht="15">
      <c r="B26" s="54">
        <v>2</v>
      </c>
      <c r="C26" s="24"/>
      <c r="D26" s="24"/>
      <c r="E26" s="75">
        <f>IF(Acalc_2*Vcalc_2&gt;0,a_1*Acalc_2^2+a_2*Vcalc_2^2+a_3*Acalc_2*Vcalc_2+a_4*Acalc_2+a_5*Vcalc_2+a_6+a_7*Acalc_2^2*Vcalc_2+a_8*Acalc_2*Vcalc_2^2,"")</f>
      </c>
      <c r="G26" s="72">
        <v>1</v>
      </c>
      <c r="H26" s="55" t="str">
        <f>IF(Ac_1&gt;0,Ac_1," ")</f>
        <v> </v>
      </c>
      <c r="I26" s="55" t="str">
        <f>IF(Vsto_1&gt;0,Vsto_1," ")</f>
        <v> </v>
      </c>
      <c r="J26" s="55" t="str">
        <f>IF(fsol_1&gt;0,fsol_1," ")</f>
        <v> </v>
      </c>
      <c r="K26" s="74" t="str">
        <f>IF(Ac_1*Vsto_1&gt;0,a_1*H26^2+a_2*I26^2+a_3*H26*I26+a_4*H26+a_5*I26+a_6+a_7*H26^2*I26+a_8*H26*I26^2," ")</f>
        <v> </v>
      </c>
      <c r="L26" s="52" t="str">
        <f>IF(fsol_1&gt;0,ABS(J26-K26)*100," ")</f>
        <v> </v>
      </c>
      <c r="M26" s="76"/>
      <c r="N26" s="96" t="s">
        <v>12</v>
      </c>
      <c r="O26" s="97">
        <v>0</v>
      </c>
      <c r="P26" s="98">
        <v>0</v>
      </c>
      <c r="Q26" s="97">
        <v>0</v>
      </c>
      <c r="R26" s="76"/>
      <c r="S26" s="76"/>
      <c r="T26" s="76"/>
    </row>
    <row r="27" spans="2:20" ht="15">
      <c r="B27" s="54">
        <v>3</v>
      </c>
      <c r="C27" s="24"/>
      <c r="D27" s="24"/>
      <c r="E27" s="75">
        <f>IF(Acalc_3*Vcalc_3&gt;0,a_1*Acalc_3^2+a_2*Vcalc_3^2+a_3*Acalc_3*Vcalc_3+a_4*Acalc_3+a_5*Vcalc_3+a_6+a_7*Acalc_3^2*Vcalc_3+a_8*Acalc_3*Vcalc_3^2,"")</f>
      </c>
      <c r="G27" s="72">
        <v>2</v>
      </c>
      <c r="H27" s="55" t="str">
        <f>IF(Ac_2&gt;0,Ac_2," ")</f>
        <v> </v>
      </c>
      <c r="I27" s="55" t="str">
        <f>IF(Vsto_2&gt;0,Vsto_2," ")</f>
        <v> </v>
      </c>
      <c r="J27" s="55" t="str">
        <f>IF(fsol_2&gt;0,fsol_2," ")</f>
        <v> </v>
      </c>
      <c r="K27" s="74" t="str">
        <f>IF(Ac_2*Vsto_2&gt;0,a_1*H27^2+a_2*I27^2+a_3*H27*I27+a_4*H27+a_5*I27+a_6+a_7*H27^2*I27+a_8*H27*I27^2," ")</f>
        <v> </v>
      </c>
      <c r="L27" s="52" t="str">
        <f>IF(fsol_2&gt;0,ABS(J27-K27)*100," ")</f>
        <v> </v>
      </c>
      <c r="M27" s="76"/>
      <c r="N27" s="96" t="s">
        <v>13</v>
      </c>
      <c r="O27" s="97">
        <v>0</v>
      </c>
      <c r="P27" s="98" t="s">
        <v>58</v>
      </c>
      <c r="Q27" s="97">
        <v>0</v>
      </c>
      <c r="R27" s="76"/>
      <c r="S27" s="76"/>
      <c r="T27" s="76"/>
    </row>
    <row r="28" spans="2:20" ht="15">
      <c r="B28" s="54">
        <v>4</v>
      </c>
      <c r="C28" s="24"/>
      <c r="D28" s="24"/>
      <c r="E28" s="75">
        <f>IF(Acalc_4*Vcalc_4&gt;0,a_1*Acalc_4^2+a_2*Vcalc_4^2+a_3*Acalc_4*Vcalc_4+a_4*Acalc_4+a_5*Vcalc_4+a_6+a_7*Acalc_4^2*Vcalc_4+a_8*Acalc_4*Vcalc_4^2,"")</f>
      </c>
      <c r="G28" s="72">
        <v>3</v>
      </c>
      <c r="H28" s="55">
        <f>IF(Ac_3&gt;0,Ac_3,"")</f>
      </c>
      <c r="I28" s="55">
        <f>IF(Vsto_3&gt;0,Vsto_3,"")</f>
      </c>
      <c r="J28" s="55">
        <f>IF(fsol_3&gt;0,fsol_3,"")</f>
      </c>
      <c r="K28" s="74" t="str">
        <f>IF(Ac_3*Vsto_3,a_1*H28^2+a_2*I28^2+a_3*H28*I28+a_4*H28+a_5*I28+a_6+a_7*H28^2*I28+a_8*H28*I28^2," ")</f>
        <v> </v>
      </c>
      <c r="L28" s="52" t="str">
        <f>IF(fsol_3&gt;0,ABS(J28-K28)*100," ")</f>
        <v> </v>
      </c>
      <c r="M28" s="76"/>
      <c r="N28" s="96" t="s">
        <v>56</v>
      </c>
      <c r="O28" s="97">
        <v>0</v>
      </c>
      <c r="P28" s="98" t="s">
        <v>59</v>
      </c>
      <c r="Q28" s="97">
        <v>0</v>
      </c>
      <c r="R28" s="76"/>
      <c r="S28" s="76"/>
      <c r="T28" s="76"/>
    </row>
    <row r="29" spans="2:20" ht="15">
      <c r="B29" s="87"/>
      <c r="C29" s="87"/>
      <c r="D29" s="87"/>
      <c r="E29" s="88"/>
      <c r="F29" s="87"/>
      <c r="G29" s="72">
        <v>4</v>
      </c>
      <c r="H29" s="55">
        <f>IF(Ac_4&gt;0,Ac_4,"")</f>
      </c>
      <c r="I29" s="55">
        <f>IF(Vsto_4&gt;0,Vsto_4,"")</f>
      </c>
      <c r="J29" s="55">
        <f>IF(fsol_4&gt;0,fsol_4,"")</f>
      </c>
      <c r="K29" s="74" t="str">
        <f>IF(Ac_4*Vsto_4,a_1*H29^2+a_2*I29^2+a_3*H29*I29+a_4*H29+a_5*I29+a_6+a_7*H29^2*I29+a_8*H29*I29^2," ")</f>
        <v> </v>
      </c>
      <c r="L29" s="52" t="str">
        <f>IF(fsol_4&gt;0,ABS(J29-K29)*100," ")</f>
        <v> </v>
      </c>
      <c r="M29" s="76"/>
      <c r="N29" s="96" t="s">
        <v>57</v>
      </c>
      <c r="O29" s="97">
        <v>0</v>
      </c>
      <c r="P29" s="98" t="s">
        <v>60</v>
      </c>
      <c r="Q29" s="97">
        <v>0</v>
      </c>
      <c r="R29" s="76"/>
      <c r="S29" s="76"/>
      <c r="T29" s="76"/>
    </row>
    <row r="30" spans="2:20" ht="15">
      <c r="B30" s="87"/>
      <c r="C30" s="87"/>
      <c r="D30" s="87"/>
      <c r="E30" s="88"/>
      <c r="F30" s="87"/>
      <c r="G30" s="72">
        <v>5</v>
      </c>
      <c r="H30" s="55">
        <f>IF(Ac_5&gt;0,Ac_5,"")</f>
      </c>
      <c r="I30" s="55">
        <f>IF(Vsto_5&gt;0,Vsto_5,"")</f>
      </c>
      <c r="J30" s="55">
        <f>IF(fsol_5&gt;0,fsol_3,"")</f>
      </c>
      <c r="K30" s="74" t="str">
        <f>IF(Ac_5*Vsto_5,a_1*H30^2+a_2*I30^2+a_3*H30*I30+a_4*H30+a_5*I30+a_6+a_7*H30^2*I30+a_8*H30*I30^2," ")</f>
        <v> </v>
      </c>
      <c r="L30" s="52" t="str">
        <f>IF(fsol_5&gt;0,ABS(J30-K30)*100," ")</f>
        <v> </v>
      </c>
      <c r="M30" s="76"/>
      <c r="N30" s="76"/>
      <c r="O30" s="76"/>
      <c r="P30" s="76"/>
      <c r="Q30" s="76"/>
      <c r="R30" s="76"/>
      <c r="S30" s="76"/>
      <c r="T30" s="76"/>
    </row>
    <row r="31" spans="2:20" ht="15">
      <c r="B31" s="87"/>
      <c r="C31" s="87"/>
      <c r="D31" s="87"/>
      <c r="E31" s="88"/>
      <c r="F31" s="87"/>
      <c r="H31" s="51"/>
      <c r="I31" s="51"/>
      <c r="J31" s="51"/>
      <c r="K31" s="51"/>
      <c r="L31" s="51"/>
      <c r="M31" s="76"/>
      <c r="N31" s="76"/>
      <c r="O31" s="76"/>
      <c r="P31" s="76"/>
      <c r="Q31" s="76"/>
      <c r="R31" s="76"/>
      <c r="S31" s="76"/>
      <c r="T31" s="76"/>
    </row>
    <row r="32" spans="2:20" ht="15">
      <c r="B32" s="51"/>
      <c r="C32" s="51"/>
      <c r="H32" s="56"/>
      <c r="I32" s="56"/>
      <c r="J32" s="56"/>
      <c r="K32" s="56"/>
      <c r="L32" s="56"/>
      <c r="M32" s="76"/>
      <c r="N32" s="76"/>
      <c r="O32" s="76"/>
      <c r="P32" s="76"/>
      <c r="Q32" s="76"/>
      <c r="R32" s="76"/>
      <c r="S32" s="76"/>
      <c r="T32" s="76"/>
    </row>
    <row r="33" spans="2:19" ht="15">
      <c r="B33" s="51"/>
      <c r="C33" s="51"/>
      <c r="H33" s="51"/>
      <c r="I33" s="51"/>
      <c r="J33" s="51"/>
      <c r="K33" s="51"/>
      <c r="L33" s="77" t="s">
        <v>89</v>
      </c>
      <c r="M33" s="53"/>
      <c r="N33" s="53"/>
      <c r="O33" s="53"/>
      <c r="P33" s="53"/>
      <c r="Q33" s="53"/>
      <c r="R33" s="53"/>
      <c r="S33" s="53"/>
    </row>
    <row r="34" spans="1:19" ht="15">
      <c r="A34" s="76"/>
      <c r="B34" s="87"/>
      <c r="C34" s="87"/>
      <c r="D34" s="76"/>
      <c r="E34" s="76"/>
      <c r="F34" s="76"/>
      <c r="H34" s="51"/>
      <c r="I34" s="51"/>
      <c r="J34" s="51"/>
      <c r="K34" s="51"/>
      <c r="L34" s="57" t="s">
        <v>64</v>
      </c>
      <c r="M34" s="57">
        <v>2</v>
      </c>
      <c r="N34" s="57">
        <v>3</v>
      </c>
      <c r="O34" s="57">
        <v>4</v>
      </c>
      <c r="P34" s="57">
        <v>5</v>
      </c>
      <c r="Q34" s="57">
        <v>6</v>
      </c>
      <c r="R34" s="57">
        <v>7</v>
      </c>
      <c r="S34" s="57">
        <v>8</v>
      </c>
    </row>
    <row r="35" spans="1:19" ht="15">
      <c r="A35" s="76"/>
      <c r="L35" s="57">
        <v>0.2</v>
      </c>
      <c r="M35" s="58">
        <f aca="true" t="shared" si="0" ref="M35:S39">IF(ABS(a_1*a_2*a_3*a_4*a_5*a_6*a_7*a_8)&gt;0,a_1*M$34^2+a_2*$L35^2+a_3*M$34*$L35+a_4*M$34+a_5*$L35+a_6+a_7*M$34^2*$L35+a_8*M$34*$L35^2,"")</f>
      </c>
      <c r="N35" s="58">
        <f t="shared" si="0"/>
      </c>
      <c r="O35" s="58">
        <f t="shared" si="0"/>
      </c>
      <c r="P35" s="58">
        <f t="shared" si="0"/>
      </c>
      <c r="Q35" s="58">
        <f t="shared" si="0"/>
      </c>
      <c r="R35" s="58">
        <f t="shared" si="0"/>
      </c>
      <c r="S35" s="58">
        <f t="shared" si="0"/>
      </c>
    </row>
    <row r="36" spans="1:19" ht="15">
      <c r="A36" s="76"/>
      <c r="L36" s="57">
        <v>0.3</v>
      </c>
      <c r="M36" s="58">
        <f t="shared" si="0"/>
      </c>
      <c r="N36" s="58">
        <f t="shared" si="0"/>
      </c>
      <c r="O36" s="58">
        <f t="shared" si="0"/>
      </c>
      <c r="P36" s="58">
        <f t="shared" si="0"/>
      </c>
      <c r="Q36" s="58">
        <f t="shared" si="0"/>
      </c>
      <c r="R36" s="58">
        <f t="shared" si="0"/>
      </c>
      <c r="S36" s="58">
        <f t="shared" si="0"/>
      </c>
    </row>
    <row r="37" spans="1:19" ht="15">
      <c r="A37" s="76"/>
      <c r="L37" s="57">
        <v>0.4</v>
      </c>
      <c r="M37" s="58">
        <f t="shared" si="0"/>
      </c>
      <c r="N37" s="58">
        <f t="shared" si="0"/>
      </c>
      <c r="O37" s="58">
        <f t="shared" si="0"/>
      </c>
      <c r="P37" s="58">
        <f t="shared" si="0"/>
      </c>
      <c r="Q37" s="58">
        <f t="shared" si="0"/>
      </c>
      <c r="R37" s="58">
        <f t="shared" si="0"/>
      </c>
      <c r="S37" s="58">
        <f t="shared" si="0"/>
      </c>
    </row>
    <row r="38" spans="1:19" ht="15">
      <c r="A38" s="76"/>
      <c r="L38" s="57">
        <v>0.5</v>
      </c>
      <c r="M38" s="58">
        <f t="shared" si="0"/>
      </c>
      <c r="N38" s="58">
        <f t="shared" si="0"/>
      </c>
      <c r="O38" s="58">
        <f t="shared" si="0"/>
      </c>
      <c r="P38" s="58">
        <f t="shared" si="0"/>
      </c>
      <c r="Q38" s="58">
        <f t="shared" si="0"/>
      </c>
      <c r="R38" s="58">
        <f t="shared" si="0"/>
      </c>
      <c r="S38" s="58">
        <f t="shared" si="0"/>
      </c>
    </row>
    <row r="39" spans="1:19" ht="15">
      <c r="A39" s="76"/>
      <c r="B39" s="76"/>
      <c r="C39" s="76"/>
      <c r="D39" s="76"/>
      <c r="E39" s="76"/>
      <c r="F39" s="76"/>
      <c r="G39" s="76"/>
      <c r="L39" s="57">
        <v>0.6</v>
      </c>
      <c r="M39" s="58">
        <f t="shared" si="0"/>
      </c>
      <c r="N39" s="58">
        <f t="shared" si="0"/>
      </c>
      <c r="O39" s="58">
        <f t="shared" si="0"/>
      </c>
      <c r="P39" s="58">
        <f t="shared" si="0"/>
      </c>
      <c r="Q39" s="58">
        <f t="shared" si="0"/>
      </c>
      <c r="R39" s="58">
        <f t="shared" si="0"/>
      </c>
      <c r="S39" s="58">
        <f t="shared" si="0"/>
      </c>
    </row>
    <row r="40" spans="1:20" ht="15">
      <c r="A40" s="76"/>
      <c r="B40" s="76"/>
      <c r="C40" s="76"/>
      <c r="D40" s="76"/>
      <c r="E40" s="76"/>
      <c r="F40" s="76"/>
      <c r="G40" s="76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ht="15">
      <c r="A41" s="76"/>
      <c r="B41" s="76"/>
      <c r="C41" s="76"/>
      <c r="D41" s="76"/>
      <c r="E41" s="76"/>
      <c r="F41" s="76"/>
      <c r="G41" s="76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ht="15">
      <c r="A42" s="76"/>
      <c r="B42" s="76"/>
      <c r="C42" s="76"/>
      <c r="D42" s="76"/>
      <c r="E42" s="76"/>
      <c r="F42" s="76"/>
      <c r="G42" s="76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ht="15">
      <c r="A43" s="76"/>
      <c r="B43" s="76"/>
      <c r="C43" s="76"/>
      <c r="D43" s="76"/>
      <c r="E43" s="76"/>
      <c r="F43" s="76"/>
      <c r="G43" s="76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ht="15">
      <c r="A44" s="76"/>
      <c r="B44" s="76"/>
      <c r="C44" s="76"/>
      <c r="D44" s="76"/>
      <c r="E44" s="76"/>
      <c r="F44" s="76" t="s">
        <v>65</v>
      </c>
      <c r="G44" s="76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9:20" ht="15"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9:20" ht="15"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9:20" ht="15"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9:20" ht="15"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9:20" ht="15"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9:20" ht="15"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9:20" ht="15"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</sheetData>
  <sheetProtection selectLockedCells="1"/>
  <mergeCells count="20">
    <mergeCell ref="B2:M2"/>
    <mergeCell ref="B20:E20"/>
    <mergeCell ref="G22:L23"/>
    <mergeCell ref="B22:E23"/>
    <mergeCell ref="N24:Q25"/>
    <mergeCell ref="B10:C10"/>
    <mergeCell ref="B12:C12"/>
    <mergeCell ref="B14:C15"/>
    <mergeCell ref="B17:C17"/>
    <mergeCell ref="L24:L25"/>
    <mergeCell ref="H24:H25"/>
    <mergeCell ref="I24:I25"/>
    <mergeCell ref="J24:J25"/>
    <mergeCell ref="B4:D4"/>
    <mergeCell ref="E4:I4"/>
    <mergeCell ref="B9:C9"/>
    <mergeCell ref="B21:C21"/>
    <mergeCell ref="F10:G11"/>
    <mergeCell ref="G24:G25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  <oleObjects>
    <oleObject progId="Equation.3" shapeId="122313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34"/>
  <sheetViews>
    <sheetView zoomScalePageLayoutView="0" workbookViewId="0" topLeftCell="A1">
      <selection activeCell="H10" sqref="H10"/>
    </sheetView>
  </sheetViews>
  <sheetFormatPr defaultColWidth="11.00390625" defaultRowHeight="15"/>
  <cols>
    <col min="1" max="1" width="13.140625" style="60" bestFit="1" customWidth="1"/>
    <col min="2" max="2" width="4.421875" style="60" customWidth="1"/>
    <col min="3" max="3" width="8.8515625" style="60" customWidth="1"/>
    <col min="4" max="4" width="11.00390625" style="60" customWidth="1"/>
    <col min="5" max="5" width="5.421875" style="60" customWidth="1"/>
    <col min="6" max="6" width="5.28125" style="60" customWidth="1"/>
    <col min="7" max="7" width="13.00390625" style="60" customWidth="1"/>
    <col min="8" max="8" width="4.7109375" style="60" customWidth="1"/>
    <col min="9" max="9" width="5.140625" style="60" customWidth="1"/>
    <col min="10" max="13" width="11.00390625" style="60" customWidth="1"/>
    <col min="14" max="14" width="13.28125" style="60" bestFit="1" customWidth="1"/>
    <col min="15" max="16384" width="11.00390625" style="60" customWidth="1"/>
  </cols>
  <sheetData>
    <row r="1" spans="1:11" ht="12.75">
      <c r="A1" s="59" t="s">
        <v>72</v>
      </c>
      <c r="D1" s="59" t="s">
        <v>85</v>
      </c>
      <c r="G1" s="59" t="s">
        <v>8</v>
      </c>
      <c r="J1" s="134" t="s">
        <v>86</v>
      </c>
      <c r="K1" s="134"/>
    </row>
    <row r="2" spans="1:10" ht="12.75">
      <c r="A2" s="60" t="s">
        <v>2</v>
      </c>
      <c r="B2" s="60">
        <v>1</v>
      </c>
      <c r="D2" s="60" t="s">
        <v>43</v>
      </c>
      <c r="E2" s="60">
        <v>1</v>
      </c>
      <c r="G2" s="60" t="s">
        <v>18</v>
      </c>
      <c r="J2" s="60">
        <v>1</v>
      </c>
    </row>
    <row r="3" spans="1:10" ht="12.75">
      <c r="A3" s="60" t="s">
        <v>3</v>
      </c>
      <c r="B3" s="60">
        <v>2</v>
      </c>
      <c r="D3" s="60" t="s">
        <v>0</v>
      </c>
      <c r="E3" s="60">
        <v>2</v>
      </c>
      <c r="G3" s="60" t="s">
        <v>82</v>
      </c>
      <c r="J3" s="60">
        <v>2</v>
      </c>
    </row>
    <row r="4" spans="1:10" ht="12.75">
      <c r="A4" s="60" t="s">
        <v>4</v>
      </c>
      <c r="B4" s="60">
        <v>3</v>
      </c>
      <c r="D4" s="60" t="s">
        <v>1</v>
      </c>
      <c r="E4" s="60">
        <v>3</v>
      </c>
      <c r="G4" s="60" t="s">
        <v>83</v>
      </c>
      <c r="J4" s="60">
        <v>3</v>
      </c>
    </row>
    <row r="5" spans="1:10" ht="12.75">
      <c r="A5" s="60" t="s">
        <v>5</v>
      </c>
      <c r="B5" s="60">
        <v>4</v>
      </c>
      <c r="J5" s="60">
        <v>4</v>
      </c>
    </row>
    <row r="6" ht="12.75">
      <c r="J6" s="60">
        <v>5</v>
      </c>
    </row>
    <row r="10" spans="1:11" ht="12.75">
      <c r="A10" s="61" t="s">
        <v>84</v>
      </c>
      <c r="B10" s="67">
        <v>1</v>
      </c>
      <c r="D10" s="61" t="s">
        <v>84</v>
      </c>
      <c r="E10" s="67">
        <v>1</v>
      </c>
      <c r="G10" s="61" t="s">
        <v>84</v>
      </c>
      <c r="H10" s="67">
        <v>1</v>
      </c>
      <c r="J10" s="61" t="s">
        <v>84</v>
      </c>
      <c r="K10" s="67">
        <v>1</v>
      </c>
    </row>
    <row r="11" ht="12.75">
      <c r="E11" s="68">
        <f>IF(Zapfprofil=1,110,IF(Zapfprofil=2,200,IF(Zapfprofil=3,300)))</f>
        <v>110</v>
      </c>
    </row>
    <row r="15" spans="1:19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>
      <c r="A18" s="62"/>
      <c r="B18" s="62"/>
      <c r="C18" s="62"/>
      <c r="D18" s="62"/>
      <c r="E18" s="62"/>
      <c r="F18" s="62"/>
      <c r="G18" s="135"/>
      <c r="H18" s="135"/>
      <c r="I18" s="135"/>
      <c r="J18" s="135"/>
      <c r="K18" s="135"/>
      <c r="L18" s="62"/>
      <c r="M18" s="62"/>
      <c r="N18" s="62"/>
      <c r="O18" s="62"/>
      <c r="P18" s="62"/>
      <c r="Q18" s="62"/>
      <c r="R18" s="62"/>
      <c r="S18" s="62"/>
    </row>
    <row r="19" spans="1:19" ht="12.75">
      <c r="A19" s="62"/>
      <c r="B19" s="62"/>
      <c r="C19" s="62"/>
      <c r="D19" s="62"/>
      <c r="E19" s="62"/>
      <c r="F19" s="62"/>
      <c r="G19" s="63"/>
      <c r="H19" s="63"/>
      <c r="I19" s="63"/>
      <c r="J19" s="63"/>
      <c r="K19" s="63"/>
      <c r="L19" s="62"/>
      <c r="M19" s="62"/>
      <c r="N19" s="62"/>
      <c r="O19" s="63"/>
      <c r="P19" s="63"/>
      <c r="Q19" s="62"/>
      <c r="R19" s="62"/>
      <c r="S19" s="62"/>
    </row>
    <row r="20" spans="1:19" ht="12.75">
      <c r="A20" s="62"/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2"/>
      <c r="M20" s="62"/>
      <c r="N20" s="64"/>
      <c r="O20" s="62"/>
      <c r="P20" s="62"/>
      <c r="Q20" s="65"/>
      <c r="R20" s="62"/>
      <c r="S20" s="62"/>
    </row>
    <row r="21" spans="1:19" ht="12.75">
      <c r="A21" s="62"/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2"/>
      <c r="M21" s="62"/>
      <c r="N21" s="64"/>
      <c r="O21" s="62"/>
      <c r="P21" s="62"/>
      <c r="Q21" s="65"/>
      <c r="R21" s="62"/>
      <c r="S21" s="62"/>
    </row>
    <row r="22" spans="1:19" ht="12.75">
      <c r="A22" s="62"/>
      <c r="B22" s="62"/>
      <c r="C22" s="62"/>
      <c r="D22" s="62"/>
      <c r="E22" s="62"/>
      <c r="F22" s="62"/>
      <c r="G22" s="63"/>
      <c r="H22" s="63"/>
      <c r="I22" s="63"/>
      <c r="J22" s="63"/>
      <c r="K22" s="63"/>
      <c r="L22" s="62"/>
      <c r="M22" s="62"/>
      <c r="N22" s="62"/>
      <c r="O22" s="62"/>
      <c r="P22" s="62"/>
      <c r="Q22" s="65"/>
      <c r="R22" s="62"/>
      <c r="S22" s="62"/>
    </row>
    <row r="23" spans="1:19" ht="12.75">
      <c r="A23" s="62"/>
      <c r="B23" s="62"/>
      <c r="C23" s="62"/>
      <c r="D23" s="62"/>
      <c r="E23" s="62"/>
      <c r="F23" s="62"/>
      <c r="G23" s="63"/>
      <c r="H23" s="63"/>
      <c r="I23" s="63"/>
      <c r="J23" s="63"/>
      <c r="K23" s="63"/>
      <c r="L23" s="62"/>
      <c r="M23" s="62"/>
      <c r="N23" s="62"/>
      <c r="O23" s="62"/>
      <c r="P23" s="62"/>
      <c r="Q23" s="62"/>
      <c r="R23" s="62"/>
      <c r="S23" s="62"/>
    </row>
    <row r="24" spans="1:19" ht="12.75">
      <c r="A24" s="62"/>
      <c r="B24" s="62"/>
      <c r="C24" s="62"/>
      <c r="D24" s="62"/>
      <c r="E24" s="62"/>
      <c r="F24" s="62"/>
      <c r="G24" s="63"/>
      <c r="H24" s="63"/>
      <c r="I24" s="63"/>
      <c r="J24" s="63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.75">
      <c r="A25" s="62"/>
      <c r="B25" s="62"/>
      <c r="C25" s="62"/>
      <c r="D25" s="62"/>
      <c r="E25" s="62"/>
      <c r="F25" s="62"/>
      <c r="G25" s="63"/>
      <c r="H25" s="63"/>
      <c r="I25" s="63"/>
      <c r="J25" s="63"/>
      <c r="K25" s="63"/>
      <c r="L25" s="62"/>
      <c r="M25" s="62"/>
      <c r="N25" s="62"/>
      <c r="O25" s="62"/>
      <c r="P25" s="62"/>
      <c r="Q25" s="62"/>
      <c r="R25" s="62"/>
      <c r="S25" s="62"/>
    </row>
    <row r="26" spans="1:19" ht="12.75">
      <c r="A26" s="62"/>
      <c r="B26" s="62"/>
      <c r="C26" s="62"/>
      <c r="D26" s="62"/>
      <c r="E26" s="62"/>
      <c r="F26" s="62"/>
      <c r="G26" s="63"/>
      <c r="H26" s="63"/>
      <c r="I26" s="63"/>
      <c r="J26" s="63"/>
      <c r="K26" s="63"/>
      <c r="L26" s="62"/>
      <c r="M26" s="62"/>
      <c r="N26" s="62"/>
      <c r="O26" s="62"/>
      <c r="P26" s="62"/>
      <c r="Q26" s="62"/>
      <c r="R26" s="62"/>
      <c r="S26" s="62"/>
    </row>
    <row r="27" spans="1:19" ht="12.75">
      <c r="A27" s="62"/>
      <c r="B27" s="62"/>
      <c r="C27" s="62"/>
      <c r="D27" s="62"/>
      <c r="E27" s="62"/>
      <c r="F27" s="62"/>
      <c r="G27" s="63"/>
      <c r="H27" s="63"/>
      <c r="I27" s="63"/>
      <c r="J27" s="63"/>
      <c r="K27" s="63"/>
      <c r="L27" s="62"/>
      <c r="M27" s="62"/>
      <c r="N27" s="62"/>
      <c r="O27" s="62"/>
      <c r="P27" s="62"/>
      <c r="Q27" s="62"/>
      <c r="R27" s="62"/>
      <c r="S27" s="62"/>
    </row>
    <row r="28" spans="1:19" s="66" customFormat="1" ht="12.75">
      <c r="A28" s="62"/>
      <c r="B28" s="62"/>
      <c r="C28" s="62"/>
      <c r="D28" s="62"/>
      <c r="E28" s="62"/>
      <c r="F28" s="62"/>
      <c r="G28" s="63"/>
      <c r="H28" s="63"/>
      <c r="I28" s="63"/>
      <c r="J28" s="63"/>
      <c r="K28" s="63"/>
      <c r="L28" s="62"/>
      <c r="M28" s="62"/>
      <c r="N28" s="62"/>
      <c r="O28" s="62"/>
      <c r="P28" s="62"/>
      <c r="Q28" s="62"/>
      <c r="R28" s="62"/>
      <c r="S28" s="62"/>
    </row>
    <row r="29" spans="1:19" s="66" customFormat="1" ht="12.75">
      <c r="A29" s="62"/>
      <c r="B29" s="62"/>
      <c r="C29" s="62"/>
      <c r="D29" s="62"/>
      <c r="E29" s="62"/>
      <c r="F29" s="62"/>
      <c r="G29" s="63"/>
      <c r="H29" s="63"/>
      <c r="I29" s="63"/>
      <c r="J29" s="63"/>
      <c r="K29" s="63"/>
      <c r="L29" s="62"/>
      <c r="M29" s="62"/>
      <c r="N29" s="62"/>
      <c r="O29" s="62"/>
      <c r="P29" s="62"/>
      <c r="Q29" s="62"/>
      <c r="R29" s="62"/>
      <c r="S29" s="62"/>
    </row>
    <row r="30" spans="1:19" s="66" customFormat="1" ht="12.75">
      <c r="A30" s="62"/>
      <c r="B30" s="62"/>
      <c r="C30" s="62"/>
      <c r="D30" s="62"/>
      <c r="E30" s="62"/>
      <c r="F30" s="62"/>
      <c r="G30" s="63"/>
      <c r="H30" s="63"/>
      <c r="I30" s="63"/>
      <c r="J30" s="63"/>
      <c r="K30" s="63"/>
      <c r="L30" s="62"/>
      <c r="M30" s="62"/>
      <c r="N30" s="62"/>
      <c r="O30" s="62"/>
      <c r="P30" s="62"/>
      <c r="Q30" s="62"/>
      <c r="R30" s="62"/>
      <c r="S30" s="62"/>
    </row>
    <row r="31" spans="1:19" s="66" customFormat="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s="66" customFormat="1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</sheetData>
  <sheetProtection selectLockedCells="1"/>
  <mergeCells count="2">
    <mergeCell ref="J1:K1"/>
    <mergeCell ref="G18:K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D587"/>
  <sheetViews>
    <sheetView zoomScale="85" zoomScaleNormal="85" zoomScalePageLayoutView="0" workbookViewId="0" topLeftCell="A1">
      <pane ySplit="12" topLeftCell="A13" activePane="bottomLeft" state="frozen"/>
      <selection pane="topLeft" activeCell="D1" sqref="D1"/>
      <selection pane="bottomLeft" activeCell="M17" sqref="M17"/>
    </sheetView>
  </sheetViews>
  <sheetFormatPr defaultColWidth="11.00390625" defaultRowHeight="15"/>
  <cols>
    <col min="1" max="1" width="11.421875" style="3" bestFit="1" customWidth="1"/>
    <col min="2" max="2" width="6.57421875" style="3" bestFit="1" customWidth="1"/>
    <col min="3" max="3" width="7.28125" style="3" bestFit="1" customWidth="1"/>
    <col min="4" max="4" width="6.8515625" style="81" bestFit="1" customWidth="1"/>
    <col min="5" max="5" width="9.00390625" style="20" bestFit="1" customWidth="1"/>
    <col min="6" max="6" width="12.00390625" style="27" customWidth="1"/>
    <col min="7" max="7" width="12.57421875" style="27" bestFit="1" customWidth="1"/>
    <col min="8" max="8" width="12.00390625" style="27" bestFit="1" customWidth="1"/>
    <col min="9" max="9" width="11.00390625" style="27" customWidth="1"/>
    <col min="10" max="10" width="12.00390625" style="27" bestFit="1" customWidth="1"/>
    <col min="11" max="11" width="11.00390625" style="27" bestFit="1" customWidth="1"/>
    <col min="12" max="12" width="11.00390625" style="27" customWidth="1"/>
    <col min="13" max="13" width="10.8515625" style="27" customWidth="1"/>
    <col min="14" max="14" width="9.8515625" style="84" customWidth="1"/>
    <col min="15" max="15" width="10.8515625" style="84" customWidth="1"/>
    <col min="16" max="16" width="7.00390625" style="3" bestFit="1" customWidth="1"/>
    <col min="17" max="17" width="6.7109375" style="3" customWidth="1"/>
    <col min="18" max="18" width="12.00390625" style="3" bestFit="1" customWidth="1"/>
    <col min="19" max="19" width="7.8515625" style="3" bestFit="1" customWidth="1"/>
    <col min="20" max="23" width="6.8515625" style="3" bestFit="1" customWidth="1"/>
    <col min="24" max="24" width="6.421875" style="3" bestFit="1" customWidth="1"/>
    <col min="25" max="25" width="6.7109375" style="3" bestFit="1" customWidth="1"/>
    <col min="26" max="26" width="6.421875" style="3" bestFit="1" customWidth="1"/>
    <col min="27" max="27" width="6.7109375" style="3" bestFit="1" customWidth="1"/>
    <col min="28" max="28" width="6.421875" style="3" bestFit="1" customWidth="1"/>
    <col min="29" max="29" width="10.8515625" style="3" customWidth="1"/>
    <col min="30" max="16384" width="11.00390625" style="3" customWidth="1"/>
  </cols>
  <sheetData>
    <row r="1" spans="1:23" s="5" customFormat="1" ht="18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32"/>
      <c r="L1" s="32"/>
      <c r="M1" s="32"/>
      <c r="N1" s="82"/>
      <c r="O1" s="82"/>
      <c r="U1" s="23"/>
      <c r="V1" s="23"/>
      <c r="W1" s="23"/>
    </row>
    <row r="2" spans="1:17" ht="48.75" customHeight="1">
      <c r="A2" s="4"/>
      <c r="B2" s="4"/>
      <c r="C2" s="4"/>
      <c r="D2" s="4"/>
      <c r="E2" s="16"/>
      <c r="F2" s="33"/>
      <c r="G2" s="33"/>
      <c r="H2" s="33"/>
      <c r="I2" s="33"/>
      <c r="J2" s="33"/>
      <c r="M2" s="92">
        <v>33</v>
      </c>
      <c r="N2" s="83">
        <v>0.43026401950000004</v>
      </c>
      <c r="O2" s="83"/>
      <c r="P2" s="46">
        <v>17</v>
      </c>
      <c r="Q2" s="46">
        <v>29</v>
      </c>
    </row>
    <row r="3" spans="1:10" ht="12.75" customHeight="1">
      <c r="A3" s="4"/>
      <c r="B3" s="4"/>
      <c r="C3" s="4"/>
      <c r="D3" s="4"/>
      <c r="E3" s="16"/>
      <c r="F3" s="33"/>
      <c r="G3" s="33"/>
      <c r="H3" s="33"/>
      <c r="I3" s="33"/>
      <c r="J3" s="33"/>
    </row>
    <row r="4" spans="1:20" ht="15">
      <c r="A4" s="143" t="s">
        <v>6</v>
      </c>
      <c r="B4" s="137"/>
      <c r="D4" s="138" t="s">
        <v>10</v>
      </c>
      <c r="E4" s="137"/>
      <c r="F4" s="137"/>
      <c r="G4" s="137"/>
      <c r="I4" s="44" t="s">
        <v>15</v>
      </c>
      <c r="J4" s="45"/>
      <c r="K4" s="45"/>
      <c r="L4" s="45"/>
      <c r="M4" s="45"/>
      <c r="N4" s="85"/>
      <c r="O4" s="86"/>
      <c r="P4" s="43"/>
      <c r="R4" s="136" t="s">
        <v>18</v>
      </c>
      <c r="S4" s="137"/>
      <c r="T4" s="137"/>
    </row>
    <row r="5" spans="1:20" ht="15">
      <c r="A5" s="11" t="s">
        <v>31</v>
      </c>
      <c r="B5" s="7">
        <v>1</v>
      </c>
      <c r="D5" s="2" t="s">
        <v>14</v>
      </c>
      <c r="E5" s="17" t="s">
        <v>11</v>
      </c>
      <c r="F5" s="34" t="s">
        <v>12</v>
      </c>
      <c r="G5" s="34" t="s">
        <v>13</v>
      </c>
      <c r="I5" s="35" t="s">
        <v>14</v>
      </c>
      <c r="J5" s="139" t="s">
        <v>16</v>
      </c>
      <c r="K5" s="140"/>
      <c r="L5" s="146" t="s">
        <v>17</v>
      </c>
      <c r="M5" s="147"/>
      <c r="N5" s="85"/>
      <c r="O5" s="86"/>
      <c r="P5" s="43"/>
      <c r="R5" s="8" t="s">
        <v>14</v>
      </c>
      <c r="S5" s="10" t="s">
        <v>19</v>
      </c>
      <c r="T5" s="10" t="s">
        <v>20</v>
      </c>
    </row>
    <row r="6" spans="1:20" ht="12" customHeight="1">
      <c r="A6" s="11" t="s">
        <v>32</v>
      </c>
      <c r="B6" s="7">
        <v>2</v>
      </c>
      <c r="D6" s="2" t="s">
        <v>22</v>
      </c>
      <c r="E6" s="29">
        <v>0.775</v>
      </c>
      <c r="F6" s="36">
        <v>3.084</v>
      </c>
      <c r="G6" s="36">
        <v>0.018</v>
      </c>
      <c r="I6" s="35" t="s">
        <v>25</v>
      </c>
      <c r="J6" s="148">
        <v>0.4</v>
      </c>
      <c r="K6" s="148"/>
      <c r="L6" s="144">
        <v>0.7</v>
      </c>
      <c r="M6" s="145"/>
      <c r="N6" s="85"/>
      <c r="O6" s="86"/>
      <c r="P6" s="43"/>
      <c r="R6" s="9" t="s">
        <v>29</v>
      </c>
      <c r="S6" s="7">
        <v>0.65</v>
      </c>
      <c r="T6" s="7">
        <v>0.85</v>
      </c>
    </row>
    <row r="7" spans="1:20" ht="12" customHeight="1">
      <c r="A7" s="11" t="s">
        <v>4</v>
      </c>
      <c r="B7" s="7">
        <v>3</v>
      </c>
      <c r="D7" s="2" t="s">
        <v>23</v>
      </c>
      <c r="E7" s="29">
        <v>0.836</v>
      </c>
      <c r="F7" s="36">
        <v>4.726</v>
      </c>
      <c r="G7" s="36">
        <v>0.022</v>
      </c>
      <c r="I7" s="35" t="s">
        <v>26</v>
      </c>
      <c r="J7" s="148">
        <v>0.5</v>
      </c>
      <c r="K7" s="148"/>
      <c r="L7" s="144">
        <v>1.2</v>
      </c>
      <c r="M7" s="145"/>
      <c r="N7" s="85"/>
      <c r="O7" s="86"/>
      <c r="P7" s="43"/>
      <c r="R7" s="9" t="s">
        <v>66</v>
      </c>
      <c r="S7" s="7">
        <v>0.55</v>
      </c>
      <c r="T7" s="7">
        <v>0.75</v>
      </c>
    </row>
    <row r="8" spans="1:20" ht="12" customHeight="1">
      <c r="A8" s="11" t="s">
        <v>33</v>
      </c>
      <c r="B8" s="7">
        <v>4</v>
      </c>
      <c r="D8" s="2" t="s">
        <v>24</v>
      </c>
      <c r="E8" s="30">
        <v>0.616</v>
      </c>
      <c r="F8" s="37">
        <v>1.391</v>
      </c>
      <c r="G8" s="37">
        <v>0.0037</v>
      </c>
      <c r="I8" s="35" t="s">
        <v>27</v>
      </c>
      <c r="J8" s="148">
        <v>0.7</v>
      </c>
      <c r="K8" s="148"/>
      <c r="L8" s="144">
        <v>2</v>
      </c>
      <c r="M8" s="145"/>
      <c r="N8" s="85"/>
      <c r="O8" s="86"/>
      <c r="P8" s="43"/>
      <c r="R8" s="9" t="s">
        <v>67</v>
      </c>
      <c r="S8" s="7">
        <v>0.45</v>
      </c>
      <c r="T8" s="7">
        <v>0.65</v>
      </c>
    </row>
    <row r="9" spans="1:30" ht="15">
      <c r="A9" s="1"/>
      <c r="B9" s="1"/>
      <c r="C9" s="1"/>
      <c r="D9" s="1"/>
      <c r="E9" s="26"/>
      <c r="F9" s="38"/>
      <c r="G9" s="38"/>
      <c r="I9" s="35" t="s">
        <v>28</v>
      </c>
      <c r="J9" s="148">
        <v>1</v>
      </c>
      <c r="K9" s="148"/>
      <c r="L9" s="144">
        <v>3</v>
      </c>
      <c r="M9" s="145"/>
      <c r="N9" s="85">
        <f>MAX(N13:N923)</f>
        <v>0.054984572</v>
      </c>
      <c r="O9" s="86">
        <f>MAX(O13:O6000)</f>
        <v>0.030148352</v>
      </c>
      <c r="P9" s="43"/>
      <c r="R9" s="9" t="s">
        <v>30</v>
      </c>
      <c r="S9" s="7" t="s">
        <v>21</v>
      </c>
      <c r="T9" s="7" t="s">
        <v>21</v>
      </c>
      <c r="AD9"/>
    </row>
    <row r="10" spans="1:10" ht="12">
      <c r="A10" s="1"/>
      <c r="B10" s="1"/>
      <c r="C10" s="1"/>
      <c r="D10" s="1"/>
      <c r="E10" s="25"/>
      <c r="F10" s="39"/>
      <c r="G10" s="39"/>
      <c r="H10" s="40"/>
      <c r="I10" s="40"/>
      <c r="J10" s="40"/>
    </row>
    <row r="11" spans="4:5" ht="12">
      <c r="D11" s="3"/>
      <c r="E11" s="18"/>
    </row>
    <row r="12" spans="1:29" ht="12">
      <c r="A12" s="12" t="s">
        <v>6</v>
      </c>
      <c r="B12" s="12" t="s">
        <v>7</v>
      </c>
      <c r="C12" s="12" t="s">
        <v>10</v>
      </c>
      <c r="D12" s="12" t="s">
        <v>15</v>
      </c>
      <c r="E12" s="19" t="s">
        <v>18</v>
      </c>
      <c r="F12" s="41" t="s">
        <v>34</v>
      </c>
      <c r="G12" s="41" t="s">
        <v>35</v>
      </c>
      <c r="H12" s="41" t="s">
        <v>36</v>
      </c>
      <c r="I12" s="41" t="s">
        <v>37</v>
      </c>
      <c r="J12" s="41" t="s">
        <v>38</v>
      </c>
      <c r="K12" s="41" t="s">
        <v>39</v>
      </c>
      <c r="L12" s="41" t="s">
        <v>40</v>
      </c>
      <c r="M12" s="41" t="s">
        <v>41</v>
      </c>
      <c r="N12" s="84" t="s">
        <v>93</v>
      </c>
      <c r="O12" s="84" t="s">
        <v>94</v>
      </c>
      <c r="P12" s="13" t="s">
        <v>8</v>
      </c>
      <c r="Q12" s="13" t="s">
        <v>55</v>
      </c>
      <c r="R12" s="13" t="s">
        <v>42</v>
      </c>
      <c r="S12" s="14" t="s">
        <v>44</v>
      </c>
      <c r="T12" s="14" t="s">
        <v>45</v>
      </c>
      <c r="U12" s="14" t="s">
        <v>46</v>
      </c>
      <c r="V12" s="14" t="s">
        <v>47</v>
      </c>
      <c r="W12" s="14" t="s">
        <v>48</v>
      </c>
      <c r="X12" s="6" t="s">
        <v>49</v>
      </c>
      <c r="Y12" s="6" t="s">
        <v>50</v>
      </c>
      <c r="Z12" s="6" t="s">
        <v>51</v>
      </c>
      <c r="AA12" s="6" t="s">
        <v>52</v>
      </c>
      <c r="AB12" s="6" t="s">
        <v>53</v>
      </c>
      <c r="AC12" s="12" t="s">
        <v>54</v>
      </c>
    </row>
    <row r="13" spans="1:29" ht="12">
      <c r="A13" s="3">
        <v>2</v>
      </c>
      <c r="B13" s="3">
        <v>110</v>
      </c>
      <c r="C13" s="3" t="s">
        <v>90</v>
      </c>
      <c r="D13" s="81">
        <v>1.2</v>
      </c>
      <c r="E13" s="20" t="s">
        <v>71</v>
      </c>
      <c r="F13" s="27">
        <v>-0.0056078206</v>
      </c>
      <c r="G13" s="27">
        <v>0.20174508</v>
      </c>
      <c r="H13" s="27">
        <v>0.10196742</v>
      </c>
      <c r="I13" s="27">
        <v>0.080334479</v>
      </c>
      <c r="J13" s="27">
        <v>-0.44573914</v>
      </c>
      <c r="K13" s="27">
        <v>0.60157277</v>
      </c>
      <c r="L13" s="27">
        <v>-0.0044479694</v>
      </c>
      <c r="M13" s="27">
        <v>-0.048275492</v>
      </c>
      <c r="N13" s="84">
        <v>0.021700005</v>
      </c>
      <c r="O13" s="84">
        <v>0.015630644</v>
      </c>
      <c r="P13" s="42">
        <f>IF(E13=0,2,IF(E13="Thermo",1,1))</f>
        <v>1</v>
      </c>
      <c r="Q13" s="3">
        <f aca="true" t="shared" si="0" ref="Q13:Q48">IF(B13=Zapf,IF(Aux=P13,1,0),0)</f>
        <v>1</v>
      </c>
      <c r="R13" s="3">
        <f aca="true" t="shared" si="1" ref="R13:R48">n_System</f>
        <v>1</v>
      </c>
      <c r="S13" s="15" t="str">
        <f aca="true" t="shared" si="2" ref="S13:S48">IF(Q13*R13&gt;0,IF(Ac_1*Vsto_1*fsol_1&gt;0,F13*Ac_1^2+G13*Vsto_1^2+H13*Ac_1*Vsto_1+I13*Ac_1+J13*Vsto_1+K13+L13*Ac_1^2*Vsto_1+M13*Ac_1*Vsto_1^2,"0"),"n/A")</f>
        <v>0</v>
      </c>
      <c r="T13" s="15" t="str">
        <f aca="true" t="shared" si="3" ref="T13:T48">IF(Q13*R13&gt;1,IF(Ac_2*Vsto_2*fsol_2&gt;0,F13*Ac_2^2+G13*Vsto_2^2+H13*Ac_2*Vsto_2+I13*Ac_2+J13*Vsto_2+K13+L13*Ac_2^2*Vsto_2+M13*Ac_2*Vsto_2^2,0),"n/A")</f>
        <v>n/A</v>
      </c>
      <c r="U13" s="15" t="str">
        <f aca="true" t="shared" si="4" ref="U13:U48">IF(Q13*R13&gt;2,IF(Ac_3*Vsto_3*fsol_3&gt;0,F13*Ac_3^2+G13*Vsto_3^2+H13*Ac_3*Vsto_3+I13*Ac_3+J13*Vsto_3+K13+L13*Ac_3^2*Vsto_3+M13*Ac_3*Vsto_3^2,0),"n/A")</f>
        <v>n/A</v>
      </c>
      <c r="V13" s="15" t="str">
        <f aca="true" t="shared" si="5" ref="V13:V48">IF(Q13*R13&gt;3,IF(Ac_4*Vsto_4*fsol_4&gt;0,F13*Ac_4^2+G13*Vsto_4^2+H13*Ac_4*Vsto_4+I13*Ac_4+J13*Vsto_4+K13+L13*Ac_4^2*Vsto_4+M13*Ac_4*Vsto_4^2,0),"n/A")</f>
        <v>n/A</v>
      </c>
      <c r="W13" s="15" t="str">
        <f aca="true" t="shared" si="6" ref="W13:W48">IF(Q13*R13&gt;4,IF(Ac_5*Vsto_5*fsol_5&gt;0,F13*Ac_5^2+G13*Vsto_5^2+H13*Ac_5*Vsto_5+I13*Ac_5+J13*Vsto_5+K13+L13*Ac_5^2*Vsto_5+M13*Ac_5*Vsto_5^2,0),"n/A")</f>
        <v>n/A</v>
      </c>
      <c r="X13" s="15">
        <f aca="true" t="shared" si="7" ref="X13:X48">IF($Q13*$R13&gt;0,ABS(fsol_1-S13),0)</f>
        <v>0</v>
      </c>
      <c r="Y13" s="15">
        <f aca="true" t="shared" si="8" ref="Y13:Y48">IF($Q13*$R13&gt;1,ABS(fsol_2-T13),0)</f>
        <v>0</v>
      </c>
      <c r="Z13" s="15">
        <f aca="true" t="shared" si="9" ref="Z13:Z48">IF($Q13*$R13&gt;2,ABS(fsol_3-U13),0)</f>
        <v>0</v>
      </c>
      <c r="AA13" s="15">
        <f aca="true" t="shared" si="10" ref="AA13:AA48">IF($Q13*$R13&gt;3,ABS(fsol_4-V13),0)</f>
        <v>0</v>
      </c>
      <c r="AB13" s="15">
        <f aca="true" t="shared" si="11" ref="AB13:AB48">IF($Q13*$R13&gt;4,ABS(fsol_5-W13),0)</f>
        <v>0</v>
      </c>
      <c r="AC13" s="15" t="str">
        <f aca="true" t="shared" si="12" ref="AC13:AC48">IF(SUM(X13:AB13)&gt;0,SUM(X13:AB13),"n/A")</f>
        <v>n/A</v>
      </c>
    </row>
    <row r="14" spans="1:29" ht="12">
      <c r="A14" s="3">
        <v>2</v>
      </c>
      <c r="B14" s="3">
        <v>110</v>
      </c>
      <c r="C14" s="3" t="s">
        <v>90</v>
      </c>
      <c r="D14" s="81">
        <v>1</v>
      </c>
      <c r="E14" s="20" t="s">
        <v>71</v>
      </c>
      <c r="F14" s="27">
        <v>-0.0054871976</v>
      </c>
      <c r="G14" s="27">
        <v>0.16053233</v>
      </c>
      <c r="H14" s="27">
        <v>0.091861842</v>
      </c>
      <c r="I14" s="27">
        <v>0.078787287</v>
      </c>
      <c r="J14" s="27">
        <v>-0.37885125</v>
      </c>
      <c r="K14" s="27">
        <v>0.61245414</v>
      </c>
      <c r="L14" s="27">
        <v>-0.0038943486</v>
      </c>
      <c r="M14" s="27">
        <v>-0.044861974</v>
      </c>
      <c r="N14" s="84">
        <v>0.022940819</v>
      </c>
      <c r="O14" s="84">
        <v>0.017040991</v>
      </c>
      <c r="P14" s="42">
        <f aca="true" t="shared" si="13" ref="P14:P48">IF(E14=0,2,IF(E14="Thermo",1,1))</f>
        <v>1</v>
      </c>
      <c r="Q14" s="3">
        <f t="shared" si="0"/>
        <v>1</v>
      </c>
      <c r="R14" s="3">
        <f t="shared" si="1"/>
        <v>1</v>
      </c>
      <c r="S14" s="15" t="str">
        <f t="shared" si="2"/>
        <v>0</v>
      </c>
      <c r="T14" s="15" t="str">
        <f t="shared" si="3"/>
        <v>n/A</v>
      </c>
      <c r="U14" s="15" t="str">
        <f t="shared" si="4"/>
        <v>n/A</v>
      </c>
      <c r="V14" s="15" t="str">
        <f t="shared" si="5"/>
        <v>n/A</v>
      </c>
      <c r="W14" s="15" t="str">
        <f t="shared" si="6"/>
        <v>n/A</v>
      </c>
      <c r="X14" s="15">
        <f t="shared" si="7"/>
        <v>0</v>
      </c>
      <c r="Y14" s="15">
        <f t="shared" si="8"/>
        <v>0</v>
      </c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 t="str">
        <f t="shared" si="12"/>
        <v>n/A</v>
      </c>
    </row>
    <row r="15" spans="1:29" ht="12">
      <c r="A15" s="3">
        <v>2</v>
      </c>
      <c r="B15" s="3">
        <v>110</v>
      </c>
      <c r="C15" s="3" t="s">
        <v>90</v>
      </c>
      <c r="D15" s="81">
        <v>0.85</v>
      </c>
      <c r="E15" s="20" t="s">
        <v>71</v>
      </c>
      <c r="F15" s="27">
        <v>-0.0054421082</v>
      </c>
      <c r="G15" s="27">
        <v>0.12346148</v>
      </c>
      <c r="H15" s="27">
        <v>0.081604629</v>
      </c>
      <c r="I15" s="27">
        <v>0.078130839</v>
      </c>
      <c r="J15" s="27">
        <v>-0.31817324</v>
      </c>
      <c r="K15" s="27">
        <v>0.61914382</v>
      </c>
      <c r="L15" s="27">
        <v>-0.0032929346</v>
      </c>
      <c r="M15" s="27">
        <v>-0.041387518</v>
      </c>
      <c r="N15" s="84">
        <v>0.022562431</v>
      </c>
      <c r="O15" s="84">
        <v>0.017139483</v>
      </c>
      <c r="P15" s="42">
        <f t="shared" si="13"/>
        <v>1</v>
      </c>
      <c r="Q15" s="3">
        <f t="shared" si="0"/>
        <v>1</v>
      </c>
      <c r="R15" s="3">
        <f t="shared" si="1"/>
        <v>1</v>
      </c>
      <c r="S15" s="15" t="str">
        <f t="shared" si="2"/>
        <v>0</v>
      </c>
      <c r="T15" s="15" t="str">
        <f t="shared" si="3"/>
        <v>n/A</v>
      </c>
      <c r="U15" s="15" t="str">
        <f t="shared" si="4"/>
        <v>n/A</v>
      </c>
      <c r="V15" s="15" t="str">
        <f t="shared" si="5"/>
        <v>n/A</v>
      </c>
      <c r="W15" s="15" t="str">
        <f t="shared" si="6"/>
        <v>n/A</v>
      </c>
      <c r="X15" s="15">
        <f t="shared" si="7"/>
        <v>0</v>
      </c>
      <c r="Y15" s="15">
        <f t="shared" si="8"/>
        <v>0</v>
      </c>
      <c r="Z15" s="15">
        <f t="shared" si="9"/>
        <v>0</v>
      </c>
      <c r="AA15" s="15">
        <f t="shared" si="10"/>
        <v>0</v>
      </c>
      <c r="AB15" s="15">
        <f t="shared" si="11"/>
        <v>0</v>
      </c>
      <c r="AC15" s="15" t="str">
        <f t="shared" si="12"/>
        <v>n/A</v>
      </c>
    </row>
    <row r="16" spans="1:29" ht="12">
      <c r="A16" s="3">
        <v>2</v>
      </c>
      <c r="B16" s="3">
        <v>110</v>
      </c>
      <c r="C16" s="3" t="s">
        <v>90</v>
      </c>
      <c r="D16" s="81">
        <v>0.7</v>
      </c>
      <c r="E16" s="20" t="s">
        <v>71</v>
      </c>
      <c r="F16" s="28">
        <v>-0.0054131166</v>
      </c>
      <c r="G16" s="28">
        <v>0.088470688</v>
      </c>
      <c r="H16" s="28">
        <v>0.070433992</v>
      </c>
      <c r="I16" s="27">
        <v>0.077638279</v>
      </c>
      <c r="J16" s="27">
        <v>-0.25419647</v>
      </c>
      <c r="K16" s="27">
        <v>0.62543369</v>
      </c>
      <c r="L16" s="27">
        <v>-0.002621646</v>
      </c>
      <c r="M16" s="27">
        <v>-0.038151424</v>
      </c>
      <c r="N16" s="84">
        <v>0.021378803</v>
      </c>
      <c r="O16" s="84">
        <v>0.016611201</v>
      </c>
      <c r="P16" s="42">
        <f t="shared" si="13"/>
        <v>1</v>
      </c>
      <c r="Q16" s="3">
        <f t="shared" si="0"/>
        <v>1</v>
      </c>
      <c r="R16" s="3">
        <f t="shared" si="1"/>
        <v>1</v>
      </c>
      <c r="S16" s="15" t="str">
        <f t="shared" si="2"/>
        <v>0</v>
      </c>
      <c r="T16" s="15" t="str">
        <f t="shared" si="3"/>
        <v>n/A</v>
      </c>
      <c r="U16" s="15" t="str">
        <f t="shared" si="4"/>
        <v>n/A</v>
      </c>
      <c r="V16" s="15" t="str">
        <f t="shared" si="5"/>
        <v>n/A</v>
      </c>
      <c r="W16" s="15" t="str">
        <f t="shared" si="6"/>
        <v>n/A</v>
      </c>
      <c r="X16" s="15">
        <f t="shared" si="7"/>
        <v>0</v>
      </c>
      <c r="Y16" s="15">
        <f t="shared" si="8"/>
        <v>0</v>
      </c>
      <c r="Z16" s="15">
        <f t="shared" si="9"/>
        <v>0</v>
      </c>
      <c r="AA16" s="15">
        <f t="shared" si="10"/>
        <v>0</v>
      </c>
      <c r="AB16" s="15">
        <f t="shared" si="11"/>
        <v>0</v>
      </c>
      <c r="AC16" s="15" t="str">
        <f t="shared" si="12"/>
        <v>n/A</v>
      </c>
    </row>
    <row r="17" spans="1:29" ht="12">
      <c r="A17" s="3">
        <v>2</v>
      </c>
      <c r="B17" s="3">
        <v>110</v>
      </c>
      <c r="C17" s="3" t="s">
        <v>91</v>
      </c>
      <c r="D17" s="81">
        <v>1.2</v>
      </c>
      <c r="E17" s="20" t="s">
        <v>71</v>
      </c>
      <c r="F17" s="27">
        <v>-0.0051627849</v>
      </c>
      <c r="G17" s="27">
        <v>0.13432198</v>
      </c>
      <c r="H17" s="27">
        <v>0.096868907</v>
      </c>
      <c r="I17" s="27">
        <v>0.074555491</v>
      </c>
      <c r="J17" s="27">
        <v>-0.38489253</v>
      </c>
      <c r="K17" s="27">
        <v>0.59757531</v>
      </c>
      <c r="L17" s="27">
        <v>-0.0044965408</v>
      </c>
      <c r="M17" s="27">
        <v>-0.042710326</v>
      </c>
      <c r="N17" s="84">
        <v>0.020484954</v>
      </c>
      <c r="O17" s="84">
        <v>0.014363332</v>
      </c>
      <c r="P17" s="42">
        <f t="shared" si="13"/>
        <v>1</v>
      </c>
      <c r="Q17" s="3">
        <f t="shared" si="0"/>
        <v>1</v>
      </c>
      <c r="R17" s="3">
        <f t="shared" si="1"/>
        <v>1</v>
      </c>
      <c r="S17" s="15" t="str">
        <f t="shared" si="2"/>
        <v>0</v>
      </c>
      <c r="T17" s="15" t="str">
        <f t="shared" si="3"/>
        <v>n/A</v>
      </c>
      <c r="U17" s="15" t="str">
        <f t="shared" si="4"/>
        <v>n/A</v>
      </c>
      <c r="V17" s="15" t="str">
        <f t="shared" si="5"/>
        <v>n/A</v>
      </c>
      <c r="W17" s="15" t="str">
        <f t="shared" si="6"/>
        <v>n/A</v>
      </c>
      <c r="X17" s="15">
        <f t="shared" si="7"/>
        <v>0</v>
      </c>
      <c r="Y17" s="15">
        <f t="shared" si="8"/>
        <v>0</v>
      </c>
      <c r="Z17" s="15">
        <f t="shared" si="9"/>
        <v>0</v>
      </c>
      <c r="AA17" s="15">
        <f t="shared" si="10"/>
        <v>0</v>
      </c>
      <c r="AB17" s="15">
        <f t="shared" si="11"/>
        <v>0</v>
      </c>
      <c r="AC17" s="15" t="str">
        <f t="shared" si="12"/>
        <v>n/A</v>
      </c>
    </row>
    <row r="18" spans="1:29" ht="12">
      <c r="A18" s="3">
        <v>2</v>
      </c>
      <c r="B18" s="3">
        <v>110</v>
      </c>
      <c r="C18" s="3" t="s">
        <v>91</v>
      </c>
      <c r="D18" s="81">
        <v>1</v>
      </c>
      <c r="E18" s="20" t="s">
        <v>71</v>
      </c>
      <c r="F18" s="27">
        <v>-0.0050713665</v>
      </c>
      <c r="G18" s="27">
        <v>0.092794333</v>
      </c>
      <c r="H18" s="27">
        <v>0.086606997</v>
      </c>
      <c r="I18" s="27">
        <v>0.073446453</v>
      </c>
      <c r="J18" s="27">
        <v>-0.31889909</v>
      </c>
      <c r="K18" s="27">
        <v>0.60754292</v>
      </c>
      <c r="L18" s="27">
        <v>-0.0039655843</v>
      </c>
      <c r="M18" s="27">
        <v>-0.038904893</v>
      </c>
      <c r="N18" s="84">
        <v>0.021814145</v>
      </c>
      <c r="O18" s="84">
        <v>0.015984358</v>
      </c>
      <c r="P18" s="42">
        <f t="shared" si="13"/>
        <v>1</v>
      </c>
      <c r="Q18" s="3">
        <f t="shared" si="0"/>
        <v>1</v>
      </c>
      <c r="R18" s="3">
        <f t="shared" si="1"/>
        <v>1</v>
      </c>
      <c r="S18" s="15" t="str">
        <f t="shared" si="2"/>
        <v>0</v>
      </c>
      <c r="T18" s="15" t="str">
        <f t="shared" si="3"/>
        <v>n/A</v>
      </c>
      <c r="U18" s="15" t="str">
        <f t="shared" si="4"/>
        <v>n/A</v>
      </c>
      <c r="V18" s="15" t="str">
        <f t="shared" si="5"/>
        <v>n/A</v>
      </c>
      <c r="W18" s="15" t="str">
        <f t="shared" si="6"/>
        <v>n/A</v>
      </c>
      <c r="X18" s="15">
        <f t="shared" si="7"/>
        <v>0</v>
      </c>
      <c r="Y18" s="15">
        <f t="shared" si="8"/>
        <v>0</v>
      </c>
      <c r="Z18" s="15">
        <f t="shared" si="9"/>
        <v>0</v>
      </c>
      <c r="AA18" s="15">
        <f t="shared" si="10"/>
        <v>0</v>
      </c>
      <c r="AB18" s="15">
        <f t="shared" si="11"/>
        <v>0</v>
      </c>
      <c r="AC18" s="15" t="str">
        <f t="shared" si="12"/>
        <v>n/A</v>
      </c>
    </row>
    <row r="19" spans="1:29" ht="12">
      <c r="A19" s="3">
        <v>2</v>
      </c>
      <c r="B19" s="3">
        <v>110</v>
      </c>
      <c r="C19" s="3" t="s">
        <v>91</v>
      </c>
      <c r="D19" s="81">
        <v>0.85</v>
      </c>
      <c r="E19" s="20" t="s">
        <v>71</v>
      </c>
      <c r="F19" s="27">
        <v>-0.0050042396</v>
      </c>
      <c r="G19" s="27">
        <v>0.057157425</v>
      </c>
      <c r="H19" s="27">
        <v>0.076844129</v>
      </c>
      <c r="I19" s="27">
        <v>0.072694477</v>
      </c>
      <c r="J19" s="27">
        <v>-0.26172049</v>
      </c>
      <c r="K19" s="27">
        <v>0.61462049</v>
      </c>
      <c r="L19" s="27">
        <v>-0.0034213236</v>
      </c>
      <c r="M19" s="27">
        <v>-0.035299911</v>
      </c>
      <c r="N19" s="84">
        <v>0.022119113</v>
      </c>
      <c r="O19" s="84">
        <v>0.016578474</v>
      </c>
      <c r="P19" s="42">
        <f t="shared" si="13"/>
        <v>1</v>
      </c>
      <c r="Q19" s="3">
        <f t="shared" si="0"/>
        <v>1</v>
      </c>
      <c r="R19" s="3">
        <f t="shared" si="1"/>
        <v>1</v>
      </c>
      <c r="S19" s="15" t="str">
        <f t="shared" si="2"/>
        <v>0</v>
      </c>
      <c r="T19" s="15" t="str">
        <f t="shared" si="3"/>
        <v>n/A</v>
      </c>
      <c r="U19" s="15" t="str">
        <f t="shared" si="4"/>
        <v>n/A</v>
      </c>
      <c r="V19" s="15" t="str">
        <f t="shared" si="5"/>
        <v>n/A</v>
      </c>
      <c r="W19" s="15" t="str">
        <f t="shared" si="6"/>
        <v>n/A</v>
      </c>
      <c r="X19" s="15">
        <f t="shared" si="7"/>
        <v>0</v>
      </c>
      <c r="Y19" s="15">
        <f t="shared" si="8"/>
        <v>0</v>
      </c>
      <c r="Z19" s="15">
        <f t="shared" si="9"/>
        <v>0</v>
      </c>
      <c r="AA19" s="15">
        <f t="shared" si="10"/>
        <v>0</v>
      </c>
      <c r="AB19" s="15">
        <f t="shared" si="11"/>
        <v>0</v>
      </c>
      <c r="AC19" s="15" t="str">
        <f t="shared" si="12"/>
        <v>n/A</v>
      </c>
    </row>
    <row r="20" spans="1:29" ht="12">
      <c r="A20" s="3">
        <v>2</v>
      </c>
      <c r="B20" s="3">
        <v>110</v>
      </c>
      <c r="C20" s="3" t="s">
        <v>91</v>
      </c>
      <c r="D20" s="81">
        <v>0.7</v>
      </c>
      <c r="E20" s="20" t="s">
        <v>71</v>
      </c>
      <c r="F20" s="27">
        <v>-0.0049989099</v>
      </c>
      <c r="G20" s="27">
        <v>0.02278746</v>
      </c>
      <c r="H20" s="27">
        <v>0.064799599</v>
      </c>
      <c r="I20" s="27">
        <v>0.072487618</v>
      </c>
      <c r="J20" s="27">
        <v>-0.19849587</v>
      </c>
      <c r="K20" s="27">
        <v>0.6205424</v>
      </c>
      <c r="L20" s="27">
        <v>-0.0026446263</v>
      </c>
      <c r="M20" s="27">
        <v>-0.031865786</v>
      </c>
      <c r="N20" s="84">
        <v>0.021526809</v>
      </c>
      <c r="O20" s="84">
        <v>0.01650172</v>
      </c>
      <c r="P20" s="42">
        <f t="shared" si="13"/>
        <v>1</v>
      </c>
      <c r="Q20" s="3">
        <f t="shared" si="0"/>
        <v>1</v>
      </c>
      <c r="R20" s="3">
        <f t="shared" si="1"/>
        <v>1</v>
      </c>
      <c r="S20" s="15" t="str">
        <f t="shared" si="2"/>
        <v>0</v>
      </c>
      <c r="T20" s="15" t="str">
        <f t="shared" si="3"/>
        <v>n/A</v>
      </c>
      <c r="U20" s="15" t="str">
        <f t="shared" si="4"/>
        <v>n/A</v>
      </c>
      <c r="V20" s="15" t="str">
        <f t="shared" si="5"/>
        <v>n/A</v>
      </c>
      <c r="W20" s="15" t="str">
        <f t="shared" si="6"/>
        <v>n/A</v>
      </c>
      <c r="X20" s="15">
        <f t="shared" si="7"/>
        <v>0</v>
      </c>
      <c r="Y20" s="15">
        <f t="shared" si="8"/>
        <v>0</v>
      </c>
      <c r="Z20" s="15">
        <f t="shared" si="9"/>
        <v>0</v>
      </c>
      <c r="AA20" s="15">
        <f t="shared" si="10"/>
        <v>0</v>
      </c>
      <c r="AB20" s="15">
        <f t="shared" si="11"/>
        <v>0</v>
      </c>
      <c r="AC20" s="15" t="str">
        <f t="shared" si="12"/>
        <v>n/A</v>
      </c>
    </row>
    <row r="21" spans="1:29" ht="12">
      <c r="A21" s="3">
        <v>2</v>
      </c>
      <c r="B21" s="3">
        <v>110</v>
      </c>
      <c r="C21" s="3" t="s">
        <v>92</v>
      </c>
      <c r="D21" s="81">
        <v>1.2</v>
      </c>
      <c r="E21" s="20" t="s">
        <v>71</v>
      </c>
      <c r="F21" s="28">
        <v>-0.0071578352</v>
      </c>
      <c r="G21" s="28">
        <v>0.28933475</v>
      </c>
      <c r="H21" s="28">
        <v>0.093353237</v>
      </c>
      <c r="I21" s="27">
        <v>0.10264587</v>
      </c>
      <c r="J21" s="27">
        <v>-0.53744329</v>
      </c>
      <c r="K21" s="27">
        <v>0.54989161</v>
      </c>
      <c r="L21" s="27">
        <v>-0.0037619941</v>
      </c>
      <c r="M21" s="27">
        <v>-0.042733903</v>
      </c>
      <c r="N21" s="84">
        <v>0.023912382</v>
      </c>
      <c r="O21" s="84">
        <v>0.016953626</v>
      </c>
      <c r="P21" s="42">
        <f t="shared" si="13"/>
        <v>1</v>
      </c>
      <c r="Q21" s="3">
        <f t="shared" si="0"/>
        <v>1</v>
      </c>
      <c r="R21" s="3">
        <f t="shared" si="1"/>
        <v>1</v>
      </c>
      <c r="S21" s="15" t="str">
        <f t="shared" si="2"/>
        <v>0</v>
      </c>
      <c r="T21" s="15" t="str">
        <f t="shared" si="3"/>
        <v>n/A</v>
      </c>
      <c r="U21" s="15" t="str">
        <f t="shared" si="4"/>
        <v>n/A</v>
      </c>
      <c r="V21" s="15" t="str">
        <f t="shared" si="5"/>
        <v>n/A</v>
      </c>
      <c r="W21" s="15" t="str">
        <f t="shared" si="6"/>
        <v>n/A</v>
      </c>
      <c r="X21" s="15">
        <f t="shared" si="7"/>
        <v>0</v>
      </c>
      <c r="Y21" s="15">
        <f t="shared" si="8"/>
        <v>0</v>
      </c>
      <c r="Z21" s="15">
        <f t="shared" si="9"/>
        <v>0</v>
      </c>
      <c r="AA21" s="15">
        <f t="shared" si="10"/>
        <v>0</v>
      </c>
      <c r="AB21" s="15">
        <f t="shared" si="11"/>
        <v>0</v>
      </c>
      <c r="AC21" s="15" t="str">
        <f t="shared" si="12"/>
        <v>n/A</v>
      </c>
    </row>
    <row r="22" spans="1:29" ht="12">
      <c r="A22" s="3">
        <v>2</v>
      </c>
      <c r="B22" s="3">
        <v>110</v>
      </c>
      <c r="C22" s="3" t="s">
        <v>92</v>
      </c>
      <c r="D22" s="81">
        <v>1</v>
      </c>
      <c r="E22" s="20" t="s">
        <v>71</v>
      </c>
      <c r="F22" s="28">
        <v>-0.0069861337</v>
      </c>
      <c r="G22" s="28">
        <v>0.25131342</v>
      </c>
      <c r="H22" s="28">
        <v>0.086840414</v>
      </c>
      <c r="I22" s="27">
        <v>0.10024779</v>
      </c>
      <c r="J22" s="27">
        <v>-0.47710273</v>
      </c>
      <c r="K22" s="27">
        <v>0.56361203</v>
      </c>
      <c r="L22" s="27">
        <v>-0.0035144816</v>
      </c>
      <c r="M22" s="27">
        <v>-0.0397801</v>
      </c>
      <c r="N22" s="84">
        <v>0.02500788</v>
      </c>
      <c r="O22" s="84">
        <v>0.018220441</v>
      </c>
      <c r="P22" s="42">
        <f t="shared" si="13"/>
        <v>1</v>
      </c>
      <c r="Q22" s="3">
        <f t="shared" si="0"/>
        <v>1</v>
      </c>
      <c r="R22" s="3">
        <f t="shared" si="1"/>
        <v>1</v>
      </c>
      <c r="S22" s="15" t="str">
        <f t="shared" si="2"/>
        <v>0</v>
      </c>
      <c r="T22" s="15" t="str">
        <f t="shared" si="3"/>
        <v>n/A</v>
      </c>
      <c r="U22" s="15" t="str">
        <f t="shared" si="4"/>
        <v>n/A</v>
      </c>
      <c r="V22" s="15" t="str">
        <f t="shared" si="5"/>
        <v>n/A</v>
      </c>
      <c r="W22" s="15" t="str">
        <f t="shared" si="6"/>
        <v>n/A</v>
      </c>
      <c r="X22" s="15">
        <f t="shared" si="7"/>
        <v>0</v>
      </c>
      <c r="Y22" s="15">
        <f t="shared" si="8"/>
        <v>0</v>
      </c>
      <c r="Z22" s="15">
        <f t="shared" si="9"/>
        <v>0</v>
      </c>
      <c r="AA22" s="15">
        <f t="shared" si="10"/>
        <v>0</v>
      </c>
      <c r="AB22" s="15">
        <f t="shared" si="11"/>
        <v>0</v>
      </c>
      <c r="AC22" s="15" t="str">
        <f t="shared" si="12"/>
        <v>n/A</v>
      </c>
    </row>
    <row r="23" spans="1:29" ht="12">
      <c r="A23" s="3">
        <v>2</v>
      </c>
      <c r="B23" s="3">
        <v>110</v>
      </c>
      <c r="C23" s="3" t="s">
        <v>92</v>
      </c>
      <c r="D23" s="81">
        <v>0.85</v>
      </c>
      <c r="E23" s="20" t="s">
        <v>71</v>
      </c>
      <c r="F23" s="27">
        <v>-0.0068961074</v>
      </c>
      <c r="G23" s="27">
        <v>0.21407818</v>
      </c>
      <c r="H23" s="27">
        <v>0.079363219</v>
      </c>
      <c r="I23" s="27">
        <v>0.098844869</v>
      </c>
      <c r="J23" s="27">
        <v>-0.4205627</v>
      </c>
      <c r="K23" s="27">
        <v>0.57265788</v>
      </c>
      <c r="L23" s="27">
        <v>-0.003161261</v>
      </c>
      <c r="M23" s="27">
        <v>-0.036422745</v>
      </c>
      <c r="N23" s="84">
        <v>0.025288436</v>
      </c>
      <c r="O23" s="84">
        <v>0.01888419</v>
      </c>
      <c r="P23" s="42">
        <f t="shared" si="13"/>
        <v>1</v>
      </c>
      <c r="Q23" s="3">
        <f t="shared" si="0"/>
        <v>1</v>
      </c>
      <c r="R23" s="3">
        <f t="shared" si="1"/>
        <v>1</v>
      </c>
      <c r="S23" s="15" t="str">
        <f t="shared" si="2"/>
        <v>0</v>
      </c>
      <c r="T23" s="15" t="str">
        <f t="shared" si="3"/>
        <v>n/A</v>
      </c>
      <c r="U23" s="15" t="str">
        <f t="shared" si="4"/>
        <v>n/A</v>
      </c>
      <c r="V23" s="15" t="str">
        <f t="shared" si="5"/>
        <v>n/A</v>
      </c>
      <c r="W23" s="15" t="str">
        <f t="shared" si="6"/>
        <v>n/A</v>
      </c>
      <c r="X23" s="15">
        <f t="shared" si="7"/>
        <v>0</v>
      </c>
      <c r="Y23" s="15">
        <f t="shared" si="8"/>
        <v>0</v>
      </c>
      <c r="Z23" s="15">
        <f t="shared" si="9"/>
        <v>0</v>
      </c>
      <c r="AA23" s="15">
        <f t="shared" si="10"/>
        <v>0</v>
      </c>
      <c r="AB23" s="15">
        <f t="shared" si="11"/>
        <v>0</v>
      </c>
      <c r="AC23" s="15" t="str">
        <f t="shared" si="12"/>
        <v>n/A</v>
      </c>
    </row>
    <row r="24" spans="1:29" ht="12">
      <c r="A24" s="3">
        <v>2</v>
      </c>
      <c r="B24" s="3">
        <v>110</v>
      </c>
      <c r="C24" s="3" t="s">
        <v>92</v>
      </c>
      <c r="D24" s="81">
        <v>0.7</v>
      </c>
      <c r="E24" s="20" t="s">
        <v>71</v>
      </c>
      <c r="F24" s="27">
        <v>-0.0068346701</v>
      </c>
      <c r="G24" s="27">
        <v>0.17314338</v>
      </c>
      <c r="H24" s="27">
        <v>0.069597595</v>
      </c>
      <c r="I24" s="27">
        <v>0.097689221</v>
      </c>
      <c r="J24" s="27">
        <v>-0.35564546</v>
      </c>
      <c r="K24" s="27">
        <v>0.58111988</v>
      </c>
      <c r="L24" s="27">
        <v>-0.002646527</v>
      </c>
      <c r="M24" s="27">
        <v>-0.03235751</v>
      </c>
      <c r="N24" s="84">
        <v>0.024633248</v>
      </c>
      <c r="O24" s="84">
        <v>0.01862983</v>
      </c>
      <c r="P24" s="42">
        <f t="shared" si="13"/>
        <v>1</v>
      </c>
      <c r="Q24" s="3">
        <f t="shared" si="0"/>
        <v>1</v>
      </c>
      <c r="R24" s="3">
        <f t="shared" si="1"/>
        <v>1</v>
      </c>
      <c r="S24" s="15" t="str">
        <f t="shared" si="2"/>
        <v>0</v>
      </c>
      <c r="T24" s="15" t="str">
        <f t="shared" si="3"/>
        <v>n/A</v>
      </c>
      <c r="U24" s="15" t="str">
        <f t="shared" si="4"/>
        <v>n/A</v>
      </c>
      <c r="V24" s="15" t="str">
        <f t="shared" si="5"/>
        <v>n/A</v>
      </c>
      <c r="W24" s="15" t="str">
        <f t="shared" si="6"/>
        <v>n/A</v>
      </c>
      <c r="X24" s="15">
        <f t="shared" si="7"/>
        <v>0</v>
      </c>
      <c r="Y24" s="15">
        <f t="shared" si="8"/>
        <v>0</v>
      </c>
      <c r="Z24" s="15">
        <f t="shared" si="9"/>
        <v>0</v>
      </c>
      <c r="AA24" s="15">
        <f t="shared" si="10"/>
        <v>0</v>
      </c>
      <c r="AB24" s="15">
        <f t="shared" si="11"/>
        <v>0</v>
      </c>
      <c r="AC24" s="15" t="str">
        <f t="shared" si="12"/>
        <v>n/A</v>
      </c>
    </row>
    <row r="25" spans="1:29" ht="12">
      <c r="A25" s="3">
        <v>2</v>
      </c>
      <c r="B25" s="3">
        <v>200</v>
      </c>
      <c r="C25" s="3" t="s">
        <v>90</v>
      </c>
      <c r="D25" s="81">
        <v>1.2</v>
      </c>
      <c r="E25" s="20" t="s">
        <v>71</v>
      </c>
      <c r="F25" s="28">
        <v>-0.0076876666</v>
      </c>
      <c r="G25" s="28">
        <v>-0.11804232</v>
      </c>
      <c r="H25" s="28">
        <v>0.085244711</v>
      </c>
      <c r="I25" s="27">
        <v>0.11187805</v>
      </c>
      <c r="J25" s="27">
        <v>-0.15141804</v>
      </c>
      <c r="K25" s="27">
        <v>0.38348365</v>
      </c>
      <c r="L25" s="27">
        <v>-0.0033804667</v>
      </c>
      <c r="M25" s="27">
        <v>-0.037848095</v>
      </c>
      <c r="N25" s="84">
        <v>0.03344072</v>
      </c>
      <c r="O25" s="84">
        <v>0.021140012</v>
      </c>
      <c r="P25" s="42">
        <f t="shared" si="13"/>
        <v>1</v>
      </c>
      <c r="Q25" s="3">
        <f t="shared" si="0"/>
        <v>0</v>
      </c>
      <c r="R25" s="3">
        <f t="shared" si="1"/>
        <v>1</v>
      </c>
      <c r="S25" s="15" t="str">
        <f t="shared" si="2"/>
        <v>n/A</v>
      </c>
      <c r="T25" s="15" t="str">
        <f t="shared" si="3"/>
        <v>n/A</v>
      </c>
      <c r="U25" s="15" t="str">
        <f t="shared" si="4"/>
        <v>n/A</v>
      </c>
      <c r="V25" s="15" t="str">
        <f t="shared" si="5"/>
        <v>n/A</v>
      </c>
      <c r="W25" s="15" t="str">
        <f t="shared" si="6"/>
        <v>n/A</v>
      </c>
      <c r="X25" s="15">
        <f t="shared" si="7"/>
        <v>0</v>
      </c>
      <c r="Y25" s="15">
        <f t="shared" si="8"/>
        <v>0</v>
      </c>
      <c r="Z25" s="15">
        <f t="shared" si="9"/>
        <v>0</v>
      </c>
      <c r="AA25" s="15">
        <f t="shared" si="10"/>
        <v>0</v>
      </c>
      <c r="AB25" s="15">
        <f t="shared" si="11"/>
        <v>0</v>
      </c>
      <c r="AC25" s="15" t="str">
        <f t="shared" si="12"/>
        <v>n/A</v>
      </c>
    </row>
    <row r="26" spans="1:29" ht="12">
      <c r="A26" s="3">
        <v>2</v>
      </c>
      <c r="B26" s="3">
        <v>200</v>
      </c>
      <c r="C26" s="3" t="s">
        <v>90</v>
      </c>
      <c r="D26" s="81">
        <v>1</v>
      </c>
      <c r="E26" s="20" t="s">
        <v>71</v>
      </c>
      <c r="F26" s="27">
        <v>-0.007665412</v>
      </c>
      <c r="G26" s="27">
        <v>-0.12151173</v>
      </c>
      <c r="H26" s="27">
        <v>0.081293195</v>
      </c>
      <c r="I26" s="27">
        <v>0.11147255</v>
      </c>
      <c r="J26" s="27">
        <v>-0.11792847</v>
      </c>
      <c r="K26" s="27">
        <v>0.3903502</v>
      </c>
      <c r="L26" s="27">
        <v>-0.0031994433</v>
      </c>
      <c r="M26" s="27">
        <v>-0.038196266</v>
      </c>
      <c r="N26" s="84">
        <v>0.031742927</v>
      </c>
      <c r="O26" s="84">
        <v>0.021064855</v>
      </c>
      <c r="P26" s="42">
        <f t="shared" si="13"/>
        <v>1</v>
      </c>
      <c r="Q26" s="3">
        <f t="shared" si="0"/>
        <v>0</v>
      </c>
      <c r="R26" s="3">
        <f t="shared" si="1"/>
        <v>1</v>
      </c>
      <c r="S26" s="15" t="str">
        <f t="shared" si="2"/>
        <v>n/A</v>
      </c>
      <c r="T26" s="15" t="str">
        <f t="shared" si="3"/>
        <v>n/A</v>
      </c>
      <c r="U26" s="15" t="str">
        <f t="shared" si="4"/>
        <v>n/A</v>
      </c>
      <c r="V26" s="15" t="str">
        <f t="shared" si="5"/>
        <v>n/A</v>
      </c>
      <c r="W26" s="15" t="str">
        <f t="shared" si="6"/>
        <v>n/A</v>
      </c>
      <c r="X26" s="15">
        <f t="shared" si="7"/>
        <v>0</v>
      </c>
      <c r="Y26" s="15">
        <f t="shared" si="8"/>
        <v>0</v>
      </c>
      <c r="Z26" s="15">
        <f t="shared" si="9"/>
        <v>0</v>
      </c>
      <c r="AA26" s="15">
        <f t="shared" si="10"/>
        <v>0</v>
      </c>
      <c r="AB26" s="15">
        <f t="shared" si="11"/>
        <v>0</v>
      </c>
      <c r="AC26" s="15" t="str">
        <f t="shared" si="12"/>
        <v>n/A</v>
      </c>
    </row>
    <row r="27" spans="1:29" ht="12">
      <c r="A27" s="3">
        <v>2</v>
      </c>
      <c r="B27" s="3">
        <v>200</v>
      </c>
      <c r="C27" s="3" t="s">
        <v>90</v>
      </c>
      <c r="D27" s="81">
        <v>0.85</v>
      </c>
      <c r="E27" s="20" t="s">
        <v>71</v>
      </c>
      <c r="F27" s="27">
        <v>-0.0076465225</v>
      </c>
      <c r="G27" s="27">
        <v>-0.1277214</v>
      </c>
      <c r="H27" s="27">
        <v>0.07823201</v>
      </c>
      <c r="I27" s="27">
        <v>0.11121431</v>
      </c>
      <c r="J27" s="27">
        <v>-0.090855046</v>
      </c>
      <c r="K27" s="27">
        <v>0.39519063</v>
      </c>
      <c r="L27" s="27">
        <v>-0.00310089</v>
      </c>
      <c r="M27" s="27">
        <v>-0.037761848</v>
      </c>
      <c r="N27" s="84">
        <v>0.030950552</v>
      </c>
      <c r="O27" s="84">
        <v>0.020892263</v>
      </c>
      <c r="P27" s="42">
        <f t="shared" si="13"/>
        <v>1</v>
      </c>
      <c r="Q27" s="3">
        <f t="shared" si="0"/>
        <v>0</v>
      </c>
      <c r="R27" s="3">
        <f t="shared" si="1"/>
        <v>1</v>
      </c>
      <c r="S27" s="15" t="str">
        <f t="shared" si="2"/>
        <v>n/A</v>
      </c>
      <c r="T27" s="15" t="str">
        <f t="shared" si="3"/>
        <v>n/A</v>
      </c>
      <c r="U27" s="15" t="str">
        <f t="shared" si="4"/>
        <v>n/A</v>
      </c>
      <c r="V27" s="15" t="str">
        <f t="shared" si="5"/>
        <v>n/A</v>
      </c>
      <c r="W27" s="15" t="str">
        <f t="shared" si="6"/>
        <v>n/A</v>
      </c>
      <c r="X27" s="15">
        <f t="shared" si="7"/>
        <v>0</v>
      </c>
      <c r="Y27" s="15">
        <f t="shared" si="8"/>
        <v>0</v>
      </c>
      <c r="Z27" s="15">
        <f t="shared" si="9"/>
        <v>0</v>
      </c>
      <c r="AA27" s="15">
        <f t="shared" si="10"/>
        <v>0</v>
      </c>
      <c r="AB27" s="15">
        <f t="shared" si="11"/>
        <v>0</v>
      </c>
      <c r="AC27" s="15" t="str">
        <f t="shared" si="12"/>
        <v>n/A</v>
      </c>
    </row>
    <row r="28" spans="1:29" ht="12">
      <c r="A28" s="3">
        <v>2</v>
      </c>
      <c r="B28" s="3">
        <v>200</v>
      </c>
      <c r="C28" s="3" t="s">
        <v>90</v>
      </c>
      <c r="D28" s="81">
        <v>0.7</v>
      </c>
      <c r="E28" s="20" t="s">
        <v>71</v>
      </c>
      <c r="F28" s="28">
        <v>-0.007600945</v>
      </c>
      <c r="G28" s="28">
        <v>-0.1295453</v>
      </c>
      <c r="H28" s="28">
        <v>0.07671705</v>
      </c>
      <c r="I28" s="27">
        <v>0.11058947</v>
      </c>
      <c r="J28" s="27">
        <v>-0.067443176</v>
      </c>
      <c r="K28" s="27">
        <v>0.40086617</v>
      </c>
      <c r="L28" s="27">
        <v>-0.0030805378</v>
      </c>
      <c r="M28" s="27">
        <v>-0.0386035</v>
      </c>
      <c r="N28" s="84">
        <v>0.03040726</v>
      </c>
      <c r="O28" s="84">
        <v>0.020779285</v>
      </c>
      <c r="P28" s="42">
        <f t="shared" si="13"/>
        <v>1</v>
      </c>
      <c r="Q28" s="3">
        <f t="shared" si="0"/>
        <v>0</v>
      </c>
      <c r="R28" s="3">
        <f t="shared" si="1"/>
        <v>1</v>
      </c>
      <c r="S28" s="15" t="str">
        <f t="shared" si="2"/>
        <v>n/A</v>
      </c>
      <c r="T28" s="15" t="str">
        <f t="shared" si="3"/>
        <v>n/A</v>
      </c>
      <c r="U28" s="15" t="str">
        <f t="shared" si="4"/>
        <v>n/A</v>
      </c>
      <c r="V28" s="15" t="str">
        <f t="shared" si="5"/>
        <v>n/A</v>
      </c>
      <c r="W28" s="15" t="str">
        <f t="shared" si="6"/>
        <v>n/A</v>
      </c>
      <c r="X28" s="15">
        <f t="shared" si="7"/>
        <v>0</v>
      </c>
      <c r="Y28" s="15">
        <f t="shared" si="8"/>
        <v>0</v>
      </c>
      <c r="Z28" s="15">
        <f t="shared" si="9"/>
        <v>0</v>
      </c>
      <c r="AA28" s="15">
        <f t="shared" si="10"/>
        <v>0</v>
      </c>
      <c r="AB28" s="15">
        <f t="shared" si="11"/>
        <v>0</v>
      </c>
      <c r="AC28" s="15" t="str">
        <f t="shared" si="12"/>
        <v>n/A</v>
      </c>
    </row>
    <row r="29" spans="1:29" ht="12">
      <c r="A29" s="3">
        <v>2</v>
      </c>
      <c r="B29" s="3">
        <v>200</v>
      </c>
      <c r="C29" s="3" t="s">
        <v>91</v>
      </c>
      <c r="D29" s="81">
        <v>1.2</v>
      </c>
      <c r="E29" s="20" t="s">
        <v>71</v>
      </c>
      <c r="F29" s="27">
        <v>-0.0070119078</v>
      </c>
      <c r="G29" s="27">
        <v>-0.15920628</v>
      </c>
      <c r="H29" s="27">
        <v>0.091660967</v>
      </c>
      <c r="I29" s="27">
        <v>0.10140862</v>
      </c>
      <c r="J29" s="27">
        <v>-0.10214408</v>
      </c>
      <c r="K29" s="27">
        <v>0.39085645</v>
      </c>
      <c r="L29" s="27">
        <v>-0.0035877759</v>
      </c>
      <c r="M29" s="27">
        <v>-0.044621356</v>
      </c>
      <c r="N29" s="84">
        <v>0.0367585</v>
      </c>
      <c r="O29" s="84">
        <v>0.022213324</v>
      </c>
      <c r="P29" s="42">
        <f t="shared" si="13"/>
        <v>1</v>
      </c>
      <c r="Q29" s="3">
        <f t="shared" si="0"/>
        <v>0</v>
      </c>
      <c r="R29" s="3">
        <f t="shared" si="1"/>
        <v>1</v>
      </c>
      <c r="S29" s="15" t="str">
        <f t="shared" si="2"/>
        <v>n/A</v>
      </c>
      <c r="T29" s="15" t="str">
        <f t="shared" si="3"/>
        <v>n/A</v>
      </c>
      <c r="U29" s="15" t="str">
        <f t="shared" si="4"/>
        <v>n/A</v>
      </c>
      <c r="V29" s="15" t="str">
        <f t="shared" si="5"/>
        <v>n/A</v>
      </c>
      <c r="W29" s="15" t="str">
        <f t="shared" si="6"/>
        <v>n/A</v>
      </c>
      <c r="X29" s="15">
        <f t="shared" si="7"/>
        <v>0</v>
      </c>
      <c r="Y29" s="15">
        <f t="shared" si="8"/>
        <v>0</v>
      </c>
      <c r="Z29" s="15">
        <f t="shared" si="9"/>
        <v>0</v>
      </c>
      <c r="AA29" s="15">
        <f t="shared" si="10"/>
        <v>0</v>
      </c>
      <c r="AB29" s="15">
        <f t="shared" si="11"/>
        <v>0</v>
      </c>
      <c r="AC29" s="15" t="str">
        <f t="shared" si="12"/>
        <v>n/A</v>
      </c>
    </row>
    <row r="30" spans="1:29" ht="12">
      <c r="A30" s="3">
        <v>2</v>
      </c>
      <c r="B30" s="3">
        <v>200</v>
      </c>
      <c r="C30" s="3" t="s">
        <v>91</v>
      </c>
      <c r="D30" s="81">
        <v>1</v>
      </c>
      <c r="E30" s="20" t="s">
        <v>71</v>
      </c>
      <c r="F30" s="27">
        <v>-0.0069621698</v>
      </c>
      <c r="G30" s="27">
        <v>-0.16217642</v>
      </c>
      <c r="H30" s="27">
        <v>0.0891821</v>
      </c>
      <c r="I30" s="27">
        <v>0.10076627</v>
      </c>
      <c r="J30" s="27">
        <v>-0.0737465</v>
      </c>
      <c r="K30" s="27">
        <v>0.3983319</v>
      </c>
      <c r="L30" s="27">
        <v>-0.0035418041</v>
      </c>
      <c r="M30" s="27">
        <v>-0.04490347</v>
      </c>
      <c r="N30" s="84">
        <v>0.034914437</v>
      </c>
      <c r="O30" s="84">
        <v>0.021955537</v>
      </c>
      <c r="P30" s="42">
        <f t="shared" si="13"/>
        <v>1</v>
      </c>
      <c r="Q30" s="3">
        <f t="shared" si="0"/>
        <v>0</v>
      </c>
      <c r="R30" s="3">
        <f t="shared" si="1"/>
        <v>1</v>
      </c>
      <c r="S30" s="15" t="str">
        <f t="shared" si="2"/>
        <v>n/A</v>
      </c>
      <c r="T30" s="15" t="str">
        <f t="shared" si="3"/>
        <v>n/A</v>
      </c>
      <c r="U30" s="15" t="str">
        <f t="shared" si="4"/>
        <v>n/A</v>
      </c>
      <c r="V30" s="15" t="str">
        <f t="shared" si="5"/>
        <v>n/A</v>
      </c>
      <c r="W30" s="15" t="str">
        <f t="shared" si="6"/>
        <v>n/A</v>
      </c>
      <c r="X30" s="15">
        <f t="shared" si="7"/>
        <v>0</v>
      </c>
      <c r="Y30" s="15">
        <f t="shared" si="8"/>
        <v>0</v>
      </c>
      <c r="Z30" s="15">
        <f t="shared" si="9"/>
        <v>0</v>
      </c>
      <c r="AA30" s="15">
        <f t="shared" si="10"/>
        <v>0</v>
      </c>
      <c r="AB30" s="15">
        <f t="shared" si="11"/>
        <v>0</v>
      </c>
      <c r="AC30" s="15" t="str">
        <f t="shared" si="12"/>
        <v>n/A</v>
      </c>
    </row>
    <row r="31" spans="1:29" ht="12">
      <c r="A31" s="3">
        <v>2</v>
      </c>
      <c r="B31" s="3">
        <v>200</v>
      </c>
      <c r="C31" s="3" t="s">
        <v>91</v>
      </c>
      <c r="D31" s="81">
        <v>0.85</v>
      </c>
      <c r="E31" s="20" t="s">
        <v>71</v>
      </c>
      <c r="F31" s="27">
        <v>-0.0069296021</v>
      </c>
      <c r="G31" s="27">
        <v>-0.16605411</v>
      </c>
      <c r="H31" s="27">
        <v>0.087624845</v>
      </c>
      <c r="I31" s="27">
        <v>0.10030279</v>
      </c>
      <c r="J31" s="27">
        <v>-0.051733359</v>
      </c>
      <c r="K31" s="27">
        <v>0.40378814</v>
      </c>
      <c r="L31" s="27">
        <v>-0.0035309352</v>
      </c>
      <c r="M31" s="27">
        <v>-0.045078643</v>
      </c>
      <c r="N31" s="84">
        <v>0.033816821</v>
      </c>
      <c r="O31" s="84">
        <v>0.021693125</v>
      </c>
      <c r="P31" s="42">
        <f t="shared" si="13"/>
        <v>1</v>
      </c>
      <c r="Q31" s="3">
        <f t="shared" si="0"/>
        <v>0</v>
      </c>
      <c r="R31" s="3">
        <f t="shared" si="1"/>
        <v>1</v>
      </c>
      <c r="S31" s="15" t="str">
        <f t="shared" si="2"/>
        <v>n/A</v>
      </c>
      <c r="T31" s="15" t="str">
        <f t="shared" si="3"/>
        <v>n/A</v>
      </c>
      <c r="U31" s="15" t="str">
        <f t="shared" si="4"/>
        <v>n/A</v>
      </c>
      <c r="V31" s="15" t="str">
        <f t="shared" si="5"/>
        <v>n/A</v>
      </c>
      <c r="W31" s="15" t="str">
        <f t="shared" si="6"/>
        <v>n/A</v>
      </c>
      <c r="X31" s="15">
        <f t="shared" si="7"/>
        <v>0</v>
      </c>
      <c r="Y31" s="15">
        <f t="shared" si="8"/>
        <v>0</v>
      </c>
      <c r="Z31" s="15">
        <f t="shared" si="9"/>
        <v>0</v>
      </c>
      <c r="AA31" s="15">
        <f t="shared" si="10"/>
        <v>0</v>
      </c>
      <c r="AB31" s="15">
        <f t="shared" si="11"/>
        <v>0</v>
      </c>
      <c r="AC31" s="15" t="str">
        <f t="shared" si="12"/>
        <v>n/A</v>
      </c>
    </row>
    <row r="32" spans="1:29" ht="12">
      <c r="A32" s="3">
        <v>2</v>
      </c>
      <c r="B32" s="3">
        <v>200</v>
      </c>
      <c r="C32" s="3" t="s">
        <v>91</v>
      </c>
      <c r="D32" s="81">
        <v>0.7</v>
      </c>
      <c r="E32" s="20" t="s">
        <v>71</v>
      </c>
      <c r="F32" s="27">
        <v>-0.0068889557</v>
      </c>
      <c r="G32" s="27">
        <v>-0.17353194</v>
      </c>
      <c r="H32" s="27">
        <v>0.085791496</v>
      </c>
      <c r="I32" s="27">
        <v>0.099875994</v>
      </c>
      <c r="J32" s="27">
        <v>-0.02593089</v>
      </c>
      <c r="K32" s="27">
        <v>0.40866585</v>
      </c>
      <c r="L32" s="27">
        <v>-0.0035436894</v>
      </c>
      <c r="M32" s="27">
        <v>-0.044869602</v>
      </c>
      <c r="N32" s="84">
        <v>0.032848508</v>
      </c>
      <c r="O32" s="84">
        <v>0.021298441</v>
      </c>
      <c r="P32" s="42">
        <f t="shared" si="13"/>
        <v>1</v>
      </c>
      <c r="Q32" s="3">
        <f t="shared" si="0"/>
        <v>0</v>
      </c>
      <c r="R32" s="3">
        <f t="shared" si="1"/>
        <v>1</v>
      </c>
      <c r="S32" s="15" t="str">
        <f t="shared" si="2"/>
        <v>n/A</v>
      </c>
      <c r="T32" s="15" t="str">
        <f t="shared" si="3"/>
        <v>n/A</v>
      </c>
      <c r="U32" s="15" t="str">
        <f t="shared" si="4"/>
        <v>n/A</v>
      </c>
      <c r="V32" s="15" t="str">
        <f t="shared" si="5"/>
        <v>n/A</v>
      </c>
      <c r="W32" s="15" t="str">
        <f t="shared" si="6"/>
        <v>n/A</v>
      </c>
      <c r="X32" s="15">
        <f t="shared" si="7"/>
        <v>0</v>
      </c>
      <c r="Y32" s="15">
        <f t="shared" si="8"/>
        <v>0</v>
      </c>
      <c r="Z32" s="15">
        <f t="shared" si="9"/>
        <v>0</v>
      </c>
      <c r="AA32" s="15">
        <f t="shared" si="10"/>
        <v>0</v>
      </c>
      <c r="AB32" s="15">
        <f t="shared" si="11"/>
        <v>0</v>
      </c>
      <c r="AC32" s="15" t="str">
        <f t="shared" si="12"/>
        <v>n/A</v>
      </c>
    </row>
    <row r="33" spans="1:29" ht="12">
      <c r="A33" s="3">
        <v>2</v>
      </c>
      <c r="B33" s="3">
        <v>200</v>
      </c>
      <c r="C33" s="3" t="s">
        <v>92</v>
      </c>
      <c r="D33" s="81">
        <v>1.2</v>
      </c>
      <c r="E33" s="20" t="s">
        <v>71</v>
      </c>
      <c r="F33" s="27">
        <v>-0.0097738181</v>
      </c>
      <c r="G33" s="27">
        <v>0.041325475</v>
      </c>
      <c r="H33" s="27">
        <v>0.077768618</v>
      </c>
      <c r="I33" s="27">
        <v>0.1432475</v>
      </c>
      <c r="J33" s="27">
        <v>-0.2887749</v>
      </c>
      <c r="K33" s="27">
        <v>0.30136103</v>
      </c>
      <c r="L33" s="27">
        <v>-0.0027800964</v>
      </c>
      <c r="M33" s="27">
        <v>-0.039293821</v>
      </c>
      <c r="N33" s="84">
        <v>0.036689468</v>
      </c>
      <c r="O33" s="84">
        <v>0.020874819</v>
      </c>
      <c r="P33" s="42">
        <f t="shared" si="13"/>
        <v>1</v>
      </c>
      <c r="Q33" s="3">
        <f t="shared" si="0"/>
        <v>0</v>
      </c>
      <c r="R33" s="3">
        <f t="shared" si="1"/>
        <v>1</v>
      </c>
      <c r="S33" s="15" t="str">
        <f t="shared" si="2"/>
        <v>n/A</v>
      </c>
      <c r="T33" s="15" t="str">
        <f t="shared" si="3"/>
        <v>n/A</v>
      </c>
      <c r="U33" s="15" t="str">
        <f t="shared" si="4"/>
        <v>n/A</v>
      </c>
      <c r="V33" s="15" t="str">
        <f t="shared" si="5"/>
        <v>n/A</v>
      </c>
      <c r="W33" s="15" t="str">
        <f t="shared" si="6"/>
        <v>n/A</v>
      </c>
      <c r="X33" s="15">
        <f t="shared" si="7"/>
        <v>0</v>
      </c>
      <c r="Y33" s="15">
        <f t="shared" si="8"/>
        <v>0</v>
      </c>
      <c r="Z33" s="15">
        <f t="shared" si="9"/>
        <v>0</v>
      </c>
      <c r="AA33" s="15">
        <f t="shared" si="10"/>
        <v>0</v>
      </c>
      <c r="AB33" s="15">
        <f t="shared" si="11"/>
        <v>0</v>
      </c>
      <c r="AC33" s="15" t="str">
        <f t="shared" si="12"/>
        <v>n/A</v>
      </c>
    </row>
    <row r="34" spans="1:29" ht="12">
      <c r="A34" s="3">
        <v>2</v>
      </c>
      <c r="B34" s="3">
        <v>200</v>
      </c>
      <c r="C34" s="3" t="s">
        <v>92</v>
      </c>
      <c r="D34" s="81">
        <v>1</v>
      </c>
      <c r="E34" s="20" t="s">
        <v>71</v>
      </c>
      <c r="F34" s="27">
        <v>-0.0096294398</v>
      </c>
      <c r="G34" s="27">
        <v>0.0070529491</v>
      </c>
      <c r="H34" s="27">
        <v>0.074787332</v>
      </c>
      <c r="I34" s="27">
        <v>0.14169434</v>
      </c>
      <c r="J34" s="27">
        <v>-0.24297652</v>
      </c>
      <c r="K34" s="27">
        <v>0.31016692</v>
      </c>
      <c r="L34" s="27">
        <v>-0.0029435258</v>
      </c>
      <c r="M34" s="27">
        <v>-0.035334391</v>
      </c>
      <c r="N34" s="84">
        <v>0.035249938</v>
      </c>
      <c r="O34" s="84">
        <v>0.02031534</v>
      </c>
      <c r="P34" s="42">
        <f t="shared" si="13"/>
        <v>1</v>
      </c>
      <c r="Q34" s="3">
        <f t="shared" si="0"/>
        <v>0</v>
      </c>
      <c r="R34" s="3">
        <f t="shared" si="1"/>
        <v>1</v>
      </c>
      <c r="S34" s="15" t="str">
        <f t="shared" si="2"/>
        <v>n/A</v>
      </c>
      <c r="T34" s="15" t="str">
        <f t="shared" si="3"/>
        <v>n/A</v>
      </c>
      <c r="U34" s="15" t="str">
        <f t="shared" si="4"/>
        <v>n/A</v>
      </c>
      <c r="V34" s="15" t="str">
        <f t="shared" si="5"/>
        <v>n/A</v>
      </c>
      <c r="W34" s="15" t="str">
        <f t="shared" si="6"/>
        <v>n/A</v>
      </c>
      <c r="X34" s="15">
        <f t="shared" si="7"/>
        <v>0</v>
      </c>
      <c r="Y34" s="15">
        <f t="shared" si="8"/>
        <v>0</v>
      </c>
      <c r="Z34" s="15">
        <f t="shared" si="9"/>
        <v>0</v>
      </c>
      <c r="AA34" s="15">
        <f t="shared" si="10"/>
        <v>0</v>
      </c>
      <c r="AB34" s="15">
        <f t="shared" si="11"/>
        <v>0</v>
      </c>
      <c r="AC34" s="15" t="str">
        <f t="shared" si="12"/>
        <v>n/A</v>
      </c>
    </row>
    <row r="35" spans="1:29" ht="12">
      <c r="A35" s="3">
        <v>2</v>
      </c>
      <c r="B35" s="3">
        <v>200</v>
      </c>
      <c r="C35" s="3" t="s">
        <v>92</v>
      </c>
      <c r="D35" s="81">
        <v>0.85</v>
      </c>
      <c r="E35" s="20" t="s">
        <v>71</v>
      </c>
      <c r="F35" s="27">
        <v>-0.0095423261</v>
      </c>
      <c r="G35" s="27">
        <v>-0.016808411</v>
      </c>
      <c r="H35" s="27">
        <v>0.071070914</v>
      </c>
      <c r="I35" s="27">
        <v>0.14074598</v>
      </c>
      <c r="J35" s="27">
        <v>-0.20428161</v>
      </c>
      <c r="K35" s="27">
        <v>0.31623584</v>
      </c>
      <c r="L35" s="27">
        <v>-0.0029334945</v>
      </c>
      <c r="M35" s="27">
        <v>-0.032673683</v>
      </c>
      <c r="N35" s="84">
        <v>0.034265861</v>
      </c>
      <c r="O35" s="84">
        <v>0.019839384</v>
      </c>
      <c r="P35" s="42">
        <f t="shared" si="13"/>
        <v>1</v>
      </c>
      <c r="Q35" s="3">
        <f t="shared" si="0"/>
        <v>0</v>
      </c>
      <c r="R35" s="3">
        <f t="shared" si="1"/>
        <v>1</v>
      </c>
      <c r="S35" s="15" t="str">
        <f t="shared" si="2"/>
        <v>n/A</v>
      </c>
      <c r="T35" s="15" t="str">
        <f t="shared" si="3"/>
        <v>n/A</v>
      </c>
      <c r="U35" s="15" t="str">
        <f t="shared" si="4"/>
        <v>n/A</v>
      </c>
      <c r="V35" s="15" t="str">
        <f t="shared" si="5"/>
        <v>n/A</v>
      </c>
      <c r="W35" s="15" t="str">
        <f t="shared" si="6"/>
        <v>n/A</v>
      </c>
      <c r="X35" s="15">
        <f t="shared" si="7"/>
        <v>0</v>
      </c>
      <c r="Y35" s="15">
        <f t="shared" si="8"/>
        <v>0</v>
      </c>
      <c r="Z35" s="15">
        <f t="shared" si="9"/>
        <v>0</v>
      </c>
      <c r="AA35" s="15">
        <f t="shared" si="10"/>
        <v>0</v>
      </c>
      <c r="AB35" s="15">
        <f t="shared" si="11"/>
        <v>0</v>
      </c>
      <c r="AC35" s="15" t="str">
        <f t="shared" si="12"/>
        <v>n/A</v>
      </c>
    </row>
    <row r="36" spans="1:29" ht="12">
      <c r="A36" s="3">
        <v>2</v>
      </c>
      <c r="B36" s="3">
        <v>200</v>
      </c>
      <c r="C36" s="3" t="s">
        <v>92</v>
      </c>
      <c r="D36" s="81">
        <v>0.7</v>
      </c>
      <c r="E36" s="20" t="s">
        <v>71</v>
      </c>
      <c r="F36" s="27">
        <v>-0.0094657067</v>
      </c>
      <c r="G36" s="27">
        <v>-0.040096112</v>
      </c>
      <c r="H36" s="27">
        <v>0.065667181</v>
      </c>
      <c r="I36" s="27">
        <v>0.13997363</v>
      </c>
      <c r="J36" s="27">
        <v>-0.16119026</v>
      </c>
      <c r="K36" s="27">
        <v>0.32179376</v>
      </c>
      <c r="L36" s="27">
        <v>-0.002807586</v>
      </c>
      <c r="M36" s="27">
        <v>-0.029643697</v>
      </c>
      <c r="N36" s="84">
        <v>0.032994668</v>
      </c>
      <c r="O36" s="84">
        <v>0.019559361</v>
      </c>
      <c r="P36" s="42">
        <f t="shared" si="13"/>
        <v>1</v>
      </c>
      <c r="Q36" s="3">
        <f t="shared" si="0"/>
        <v>0</v>
      </c>
      <c r="R36" s="3">
        <f t="shared" si="1"/>
        <v>1</v>
      </c>
      <c r="S36" s="15" t="str">
        <f t="shared" si="2"/>
        <v>n/A</v>
      </c>
      <c r="T36" s="15" t="str">
        <f t="shared" si="3"/>
        <v>n/A</v>
      </c>
      <c r="U36" s="15" t="str">
        <f t="shared" si="4"/>
        <v>n/A</v>
      </c>
      <c r="V36" s="15" t="str">
        <f t="shared" si="5"/>
        <v>n/A</v>
      </c>
      <c r="W36" s="15" t="str">
        <f t="shared" si="6"/>
        <v>n/A</v>
      </c>
      <c r="X36" s="15">
        <f t="shared" si="7"/>
        <v>0</v>
      </c>
      <c r="Y36" s="15">
        <f t="shared" si="8"/>
        <v>0</v>
      </c>
      <c r="Z36" s="15">
        <f t="shared" si="9"/>
        <v>0</v>
      </c>
      <c r="AA36" s="15">
        <f t="shared" si="10"/>
        <v>0</v>
      </c>
      <c r="AB36" s="15">
        <f t="shared" si="11"/>
        <v>0</v>
      </c>
      <c r="AC36" s="15" t="str">
        <f t="shared" si="12"/>
        <v>n/A</v>
      </c>
    </row>
    <row r="37" spans="1:29" ht="12">
      <c r="A37" s="3">
        <v>2</v>
      </c>
      <c r="B37" s="3">
        <v>300</v>
      </c>
      <c r="C37" s="3" t="s">
        <v>90</v>
      </c>
      <c r="D37" s="81">
        <v>0.7</v>
      </c>
      <c r="E37" s="20" t="s">
        <v>71</v>
      </c>
      <c r="F37" s="27">
        <v>-0.0098334623</v>
      </c>
      <c r="G37" s="27">
        <v>-0.32693834</v>
      </c>
      <c r="H37" s="27">
        <v>0.080149283</v>
      </c>
      <c r="I37" s="27">
        <v>0.14136076</v>
      </c>
      <c r="J37" s="27">
        <v>0.14729653</v>
      </c>
      <c r="K37" s="27">
        <v>0.17636316</v>
      </c>
      <c r="L37" s="27">
        <v>-0.0019016873</v>
      </c>
      <c r="M37" s="27">
        <v>-0.057833175</v>
      </c>
      <c r="N37" s="84">
        <v>0.047407142</v>
      </c>
      <c r="O37" s="84">
        <v>0.026800845</v>
      </c>
      <c r="P37" s="42">
        <f t="shared" si="13"/>
        <v>1</v>
      </c>
      <c r="Q37" s="3">
        <f t="shared" si="0"/>
        <v>0</v>
      </c>
      <c r="R37" s="3">
        <f t="shared" si="1"/>
        <v>1</v>
      </c>
      <c r="S37" s="15" t="str">
        <f t="shared" si="2"/>
        <v>n/A</v>
      </c>
      <c r="T37" s="15" t="str">
        <f t="shared" si="3"/>
        <v>n/A</v>
      </c>
      <c r="U37" s="15" t="str">
        <f t="shared" si="4"/>
        <v>n/A</v>
      </c>
      <c r="V37" s="15" t="str">
        <f t="shared" si="5"/>
        <v>n/A</v>
      </c>
      <c r="W37" s="15" t="str">
        <f t="shared" si="6"/>
        <v>n/A</v>
      </c>
      <c r="X37" s="15">
        <f t="shared" si="7"/>
        <v>0</v>
      </c>
      <c r="Y37" s="15">
        <f t="shared" si="8"/>
        <v>0</v>
      </c>
      <c r="Z37" s="15">
        <f t="shared" si="9"/>
        <v>0</v>
      </c>
      <c r="AA37" s="15">
        <f t="shared" si="10"/>
        <v>0</v>
      </c>
      <c r="AB37" s="15">
        <f t="shared" si="11"/>
        <v>0</v>
      </c>
      <c r="AC37" s="15" t="str">
        <f t="shared" si="12"/>
        <v>n/A</v>
      </c>
    </row>
    <row r="38" spans="1:29" ht="12">
      <c r="A38" s="3">
        <v>2</v>
      </c>
      <c r="B38" s="3">
        <v>300</v>
      </c>
      <c r="C38" s="3" t="s">
        <v>90</v>
      </c>
      <c r="D38" s="81">
        <v>0.85</v>
      </c>
      <c r="E38" s="20" t="s">
        <v>71</v>
      </c>
      <c r="F38" s="27">
        <v>-0.0098134348</v>
      </c>
      <c r="G38" s="27">
        <v>-0.32320154</v>
      </c>
      <c r="H38" s="27">
        <v>0.082385339</v>
      </c>
      <c r="I38" s="27">
        <v>0.14095458</v>
      </c>
      <c r="J38" s="27">
        <v>0.1316405</v>
      </c>
      <c r="K38" s="27">
        <v>0.17326927</v>
      </c>
      <c r="L38" s="27">
        <v>-0.0018664944</v>
      </c>
      <c r="M38" s="27">
        <v>-0.06008531</v>
      </c>
      <c r="N38" s="84">
        <v>0.049238485</v>
      </c>
      <c r="O38" s="84">
        <v>0.027092577</v>
      </c>
      <c r="P38" s="42">
        <f t="shared" si="13"/>
        <v>1</v>
      </c>
      <c r="Q38" s="3">
        <f t="shared" si="0"/>
        <v>0</v>
      </c>
      <c r="R38" s="3">
        <f t="shared" si="1"/>
        <v>1</v>
      </c>
      <c r="S38" s="15" t="str">
        <f t="shared" si="2"/>
        <v>n/A</v>
      </c>
      <c r="T38" s="15" t="str">
        <f t="shared" si="3"/>
        <v>n/A</v>
      </c>
      <c r="U38" s="15" t="str">
        <f t="shared" si="4"/>
        <v>n/A</v>
      </c>
      <c r="V38" s="15" t="str">
        <f t="shared" si="5"/>
        <v>n/A</v>
      </c>
      <c r="W38" s="15" t="str">
        <f t="shared" si="6"/>
        <v>n/A</v>
      </c>
      <c r="X38" s="15">
        <f t="shared" si="7"/>
        <v>0</v>
      </c>
      <c r="Y38" s="15">
        <f t="shared" si="8"/>
        <v>0</v>
      </c>
      <c r="Z38" s="15">
        <f t="shared" si="9"/>
        <v>0</v>
      </c>
      <c r="AA38" s="15">
        <f t="shared" si="10"/>
        <v>0</v>
      </c>
      <c r="AB38" s="15">
        <f t="shared" si="11"/>
        <v>0</v>
      </c>
      <c r="AC38" s="15" t="str">
        <f t="shared" si="12"/>
        <v>n/A</v>
      </c>
    </row>
    <row r="39" spans="1:29" ht="12">
      <c r="A39" s="3">
        <v>2</v>
      </c>
      <c r="B39" s="3">
        <v>300</v>
      </c>
      <c r="C39" s="3" t="s">
        <v>90</v>
      </c>
      <c r="D39" s="81">
        <v>1</v>
      </c>
      <c r="E39" s="20" t="s">
        <v>71</v>
      </c>
      <c r="F39" s="27">
        <v>-0.0098015299</v>
      </c>
      <c r="G39" s="27">
        <v>-0.31873061</v>
      </c>
      <c r="H39" s="27">
        <v>0.083978502</v>
      </c>
      <c r="I39" s="27">
        <v>0.14062041</v>
      </c>
      <c r="J39" s="27">
        <v>0.11747271</v>
      </c>
      <c r="K39" s="27">
        <v>0.17004021</v>
      </c>
      <c r="L39" s="27">
        <v>-0.0017709187</v>
      </c>
      <c r="M39" s="27">
        <v>-0.062374804</v>
      </c>
      <c r="N39" s="84">
        <v>0.051082875</v>
      </c>
      <c r="O39" s="84">
        <v>0.027361539</v>
      </c>
      <c r="P39" s="42">
        <f t="shared" si="13"/>
        <v>1</v>
      </c>
      <c r="Q39" s="3">
        <f t="shared" si="0"/>
        <v>0</v>
      </c>
      <c r="R39" s="3">
        <f t="shared" si="1"/>
        <v>1</v>
      </c>
      <c r="S39" s="15" t="str">
        <f t="shared" si="2"/>
        <v>n/A</v>
      </c>
      <c r="T39" s="15" t="str">
        <f t="shared" si="3"/>
        <v>n/A</v>
      </c>
      <c r="U39" s="15" t="str">
        <f t="shared" si="4"/>
        <v>n/A</v>
      </c>
      <c r="V39" s="15" t="str">
        <f t="shared" si="5"/>
        <v>n/A</v>
      </c>
      <c r="W39" s="15" t="str">
        <f t="shared" si="6"/>
        <v>n/A</v>
      </c>
      <c r="X39" s="15">
        <f t="shared" si="7"/>
        <v>0</v>
      </c>
      <c r="Y39" s="15">
        <f t="shared" si="8"/>
        <v>0</v>
      </c>
      <c r="Z39" s="15">
        <f t="shared" si="9"/>
        <v>0</v>
      </c>
      <c r="AA39" s="15">
        <f t="shared" si="10"/>
        <v>0</v>
      </c>
      <c r="AB39" s="15">
        <f t="shared" si="11"/>
        <v>0</v>
      </c>
      <c r="AC39" s="15" t="str">
        <f t="shared" si="12"/>
        <v>n/A</v>
      </c>
    </row>
    <row r="40" spans="1:29" ht="12">
      <c r="A40" s="3">
        <v>2</v>
      </c>
      <c r="B40" s="3">
        <v>300</v>
      </c>
      <c r="C40" s="3" t="s">
        <v>90</v>
      </c>
      <c r="D40" s="81">
        <v>1.2</v>
      </c>
      <c r="E40" s="20" t="s">
        <v>71</v>
      </c>
      <c r="F40" s="27">
        <v>-0.0097868476</v>
      </c>
      <c r="G40" s="27">
        <v>-0.31182479</v>
      </c>
      <c r="H40" s="27">
        <v>0.085811474</v>
      </c>
      <c r="I40" s="27">
        <v>0.14014918</v>
      </c>
      <c r="J40" s="27">
        <v>0.099486948</v>
      </c>
      <c r="K40" s="27">
        <v>0.1659071</v>
      </c>
      <c r="L40" s="27">
        <v>-0.0016093021</v>
      </c>
      <c r="M40" s="27">
        <v>-0.06561966</v>
      </c>
      <c r="N40" s="84">
        <v>0.05319095</v>
      </c>
      <c r="O40" s="84">
        <v>0.02754382</v>
      </c>
      <c r="P40" s="42">
        <f t="shared" si="13"/>
        <v>1</v>
      </c>
      <c r="Q40" s="3">
        <f t="shared" si="0"/>
        <v>0</v>
      </c>
      <c r="R40" s="3">
        <f t="shared" si="1"/>
        <v>1</v>
      </c>
      <c r="S40" s="15" t="str">
        <f t="shared" si="2"/>
        <v>n/A</v>
      </c>
      <c r="T40" s="15" t="str">
        <f t="shared" si="3"/>
        <v>n/A</v>
      </c>
      <c r="U40" s="15" t="str">
        <f t="shared" si="4"/>
        <v>n/A</v>
      </c>
      <c r="V40" s="15" t="str">
        <f t="shared" si="5"/>
        <v>n/A</v>
      </c>
      <c r="W40" s="15" t="str">
        <f t="shared" si="6"/>
        <v>n/A</v>
      </c>
      <c r="X40" s="15">
        <f t="shared" si="7"/>
        <v>0</v>
      </c>
      <c r="Y40" s="15">
        <f t="shared" si="8"/>
        <v>0</v>
      </c>
      <c r="Z40" s="15">
        <f t="shared" si="9"/>
        <v>0</v>
      </c>
      <c r="AA40" s="15">
        <f t="shared" si="10"/>
        <v>0</v>
      </c>
      <c r="AB40" s="15">
        <f t="shared" si="11"/>
        <v>0</v>
      </c>
      <c r="AC40" s="15" t="str">
        <f t="shared" si="12"/>
        <v>n/A</v>
      </c>
    </row>
    <row r="41" spans="1:29" ht="12">
      <c r="A41" s="3">
        <v>2</v>
      </c>
      <c r="B41" s="3">
        <v>300</v>
      </c>
      <c r="C41" s="3" t="s">
        <v>91</v>
      </c>
      <c r="D41" s="81">
        <v>0.7</v>
      </c>
      <c r="E41" s="20" t="s">
        <v>71</v>
      </c>
      <c r="F41" s="27">
        <v>-0.0088419725</v>
      </c>
      <c r="G41" s="27">
        <v>-0.45662239</v>
      </c>
      <c r="H41" s="27">
        <v>0.085644565</v>
      </c>
      <c r="I41" s="27">
        <v>0.12669486</v>
      </c>
      <c r="J41" s="27">
        <v>0.25174806</v>
      </c>
      <c r="K41" s="27">
        <v>0.18886514</v>
      </c>
      <c r="L41" s="27">
        <v>-0.0022372832</v>
      </c>
      <c r="M41" s="27">
        <v>-0.05818238</v>
      </c>
      <c r="N41" s="84">
        <v>0.048534423</v>
      </c>
      <c r="O41" s="84">
        <v>0.029484465</v>
      </c>
      <c r="P41" s="42">
        <f t="shared" si="13"/>
        <v>1</v>
      </c>
      <c r="Q41" s="3">
        <f t="shared" si="0"/>
        <v>0</v>
      </c>
      <c r="R41" s="3">
        <f t="shared" si="1"/>
        <v>1</v>
      </c>
      <c r="S41" s="15" t="str">
        <f t="shared" si="2"/>
        <v>n/A</v>
      </c>
      <c r="T41" s="15" t="str">
        <f t="shared" si="3"/>
        <v>n/A</v>
      </c>
      <c r="U41" s="15" t="str">
        <f t="shared" si="4"/>
        <v>n/A</v>
      </c>
      <c r="V41" s="15" t="str">
        <f t="shared" si="5"/>
        <v>n/A</v>
      </c>
      <c r="W41" s="15" t="str">
        <f t="shared" si="6"/>
        <v>n/A</v>
      </c>
      <c r="X41" s="15">
        <f t="shared" si="7"/>
        <v>0</v>
      </c>
      <c r="Y41" s="15">
        <f t="shared" si="8"/>
        <v>0</v>
      </c>
      <c r="Z41" s="15">
        <f t="shared" si="9"/>
        <v>0</v>
      </c>
      <c r="AA41" s="15">
        <f t="shared" si="10"/>
        <v>0</v>
      </c>
      <c r="AB41" s="15">
        <f t="shared" si="11"/>
        <v>0</v>
      </c>
      <c r="AC41" s="15" t="str">
        <f t="shared" si="12"/>
        <v>n/A</v>
      </c>
    </row>
    <row r="42" spans="1:29" ht="12">
      <c r="A42" s="3">
        <v>2</v>
      </c>
      <c r="B42" s="3">
        <v>300</v>
      </c>
      <c r="C42" s="3" t="s">
        <v>91</v>
      </c>
      <c r="D42" s="81">
        <v>0.85</v>
      </c>
      <c r="E42" s="20" t="s">
        <v>71</v>
      </c>
      <c r="F42" s="27">
        <v>-0.0088368578</v>
      </c>
      <c r="G42" s="27">
        <v>-0.45379081</v>
      </c>
      <c r="H42" s="27">
        <v>0.088028534</v>
      </c>
      <c r="I42" s="27">
        <v>0.12639552</v>
      </c>
      <c r="J42" s="27">
        <v>0.23690297</v>
      </c>
      <c r="K42" s="27">
        <v>0.1854629</v>
      </c>
      <c r="L42" s="27">
        <v>-0.0021998883</v>
      </c>
      <c r="M42" s="27">
        <v>-0.060657286</v>
      </c>
      <c r="N42" s="84">
        <v>0.050504847</v>
      </c>
      <c r="O42" s="84">
        <v>0.029706627</v>
      </c>
      <c r="P42" s="42">
        <f t="shared" si="13"/>
        <v>1</v>
      </c>
      <c r="Q42" s="3">
        <f t="shared" si="0"/>
        <v>0</v>
      </c>
      <c r="R42" s="3">
        <f t="shared" si="1"/>
        <v>1</v>
      </c>
      <c r="S42" s="15" t="str">
        <f t="shared" si="2"/>
        <v>n/A</v>
      </c>
      <c r="T42" s="15" t="str">
        <f t="shared" si="3"/>
        <v>n/A</v>
      </c>
      <c r="U42" s="15" t="str">
        <f t="shared" si="4"/>
        <v>n/A</v>
      </c>
      <c r="V42" s="15" t="str">
        <f t="shared" si="5"/>
        <v>n/A</v>
      </c>
      <c r="W42" s="15" t="str">
        <f t="shared" si="6"/>
        <v>n/A</v>
      </c>
      <c r="X42" s="15">
        <f t="shared" si="7"/>
        <v>0</v>
      </c>
      <c r="Y42" s="15">
        <f t="shared" si="8"/>
        <v>0</v>
      </c>
      <c r="Z42" s="15">
        <f t="shared" si="9"/>
        <v>0</v>
      </c>
      <c r="AA42" s="15">
        <f t="shared" si="10"/>
        <v>0</v>
      </c>
      <c r="AB42" s="15">
        <f t="shared" si="11"/>
        <v>0</v>
      </c>
      <c r="AC42" s="15" t="str">
        <f t="shared" si="12"/>
        <v>n/A</v>
      </c>
    </row>
    <row r="43" spans="1:29" ht="12">
      <c r="A43" s="3">
        <v>2</v>
      </c>
      <c r="B43" s="3">
        <v>300</v>
      </c>
      <c r="C43" s="3" t="s">
        <v>91</v>
      </c>
      <c r="D43" s="81">
        <v>1</v>
      </c>
      <c r="E43" s="20" t="s">
        <v>71</v>
      </c>
      <c r="F43" s="27">
        <v>-0.0088153191</v>
      </c>
      <c r="G43" s="27">
        <v>-0.44677268</v>
      </c>
      <c r="H43" s="27">
        <v>0.091163466</v>
      </c>
      <c r="I43" s="27">
        <v>0.12583941</v>
      </c>
      <c r="J43" s="27">
        <v>0.21927108</v>
      </c>
      <c r="K43" s="27">
        <v>0.18282883</v>
      </c>
      <c r="L43" s="27">
        <v>-0.0021897122</v>
      </c>
      <c r="M43" s="27">
        <v>-0.063881179</v>
      </c>
      <c r="N43" s="84">
        <v>0.052413605</v>
      </c>
      <c r="O43" s="84">
        <v>0.02992244</v>
      </c>
      <c r="P43" s="42">
        <f t="shared" si="13"/>
        <v>1</v>
      </c>
      <c r="Q43" s="3">
        <f t="shared" si="0"/>
        <v>0</v>
      </c>
      <c r="R43" s="3">
        <f t="shared" si="1"/>
        <v>1</v>
      </c>
      <c r="S43" s="15" t="str">
        <f t="shared" si="2"/>
        <v>n/A</v>
      </c>
      <c r="T43" s="15" t="str">
        <f t="shared" si="3"/>
        <v>n/A</v>
      </c>
      <c r="U43" s="15" t="str">
        <f t="shared" si="4"/>
        <v>n/A</v>
      </c>
      <c r="V43" s="15" t="str">
        <f t="shared" si="5"/>
        <v>n/A</v>
      </c>
      <c r="W43" s="15" t="str">
        <f t="shared" si="6"/>
        <v>n/A</v>
      </c>
      <c r="X43" s="15">
        <f t="shared" si="7"/>
        <v>0</v>
      </c>
      <c r="Y43" s="15">
        <f t="shared" si="8"/>
        <v>0</v>
      </c>
      <c r="Z43" s="15">
        <f t="shared" si="9"/>
        <v>0</v>
      </c>
      <c r="AA43" s="15">
        <f t="shared" si="10"/>
        <v>0</v>
      </c>
      <c r="AB43" s="15">
        <f t="shared" si="11"/>
        <v>0</v>
      </c>
      <c r="AC43" s="15" t="str">
        <f t="shared" si="12"/>
        <v>n/A</v>
      </c>
    </row>
    <row r="44" spans="1:29" ht="12">
      <c r="A44" s="3">
        <v>2</v>
      </c>
      <c r="B44" s="3">
        <v>300</v>
      </c>
      <c r="C44" s="3" t="s">
        <v>91</v>
      </c>
      <c r="D44" s="81">
        <v>1.2</v>
      </c>
      <c r="E44" s="20" t="s">
        <v>71</v>
      </c>
      <c r="F44" s="27">
        <v>-0.0087778251</v>
      </c>
      <c r="G44" s="27">
        <v>-0.43782805</v>
      </c>
      <c r="H44" s="27">
        <v>0.095267109</v>
      </c>
      <c r="I44" s="27">
        <v>0.1250333</v>
      </c>
      <c r="J44" s="27">
        <v>0.19738639</v>
      </c>
      <c r="K44" s="27">
        <v>0.17931777</v>
      </c>
      <c r="L44" s="27">
        <v>-0.0021899502</v>
      </c>
      <c r="M44" s="27">
        <v>-0.068238838</v>
      </c>
      <c r="N44" s="84">
        <v>0.054984572</v>
      </c>
      <c r="O44" s="84">
        <v>0.030148352</v>
      </c>
      <c r="P44" s="42">
        <f t="shared" si="13"/>
        <v>1</v>
      </c>
      <c r="Q44" s="3">
        <f t="shared" si="0"/>
        <v>0</v>
      </c>
      <c r="R44" s="3">
        <f t="shared" si="1"/>
        <v>1</v>
      </c>
      <c r="S44" s="15" t="str">
        <f t="shared" si="2"/>
        <v>n/A</v>
      </c>
      <c r="T44" s="15" t="str">
        <f t="shared" si="3"/>
        <v>n/A</v>
      </c>
      <c r="U44" s="15" t="str">
        <f t="shared" si="4"/>
        <v>n/A</v>
      </c>
      <c r="V44" s="15" t="str">
        <f t="shared" si="5"/>
        <v>n/A</v>
      </c>
      <c r="W44" s="15" t="str">
        <f t="shared" si="6"/>
        <v>n/A</v>
      </c>
      <c r="X44" s="15">
        <f t="shared" si="7"/>
        <v>0</v>
      </c>
      <c r="Y44" s="15">
        <f t="shared" si="8"/>
        <v>0</v>
      </c>
      <c r="Z44" s="15">
        <f t="shared" si="9"/>
        <v>0</v>
      </c>
      <c r="AA44" s="15">
        <f t="shared" si="10"/>
        <v>0</v>
      </c>
      <c r="AB44" s="15">
        <f t="shared" si="11"/>
        <v>0</v>
      </c>
      <c r="AC44" s="15" t="str">
        <f t="shared" si="12"/>
        <v>n/A</v>
      </c>
    </row>
    <row r="45" spans="1:29" ht="12">
      <c r="A45" s="3">
        <v>2</v>
      </c>
      <c r="B45" s="3">
        <v>300</v>
      </c>
      <c r="C45" s="3" t="s">
        <v>92</v>
      </c>
      <c r="D45" s="81">
        <v>0.7</v>
      </c>
      <c r="E45" s="20" t="s">
        <v>71</v>
      </c>
      <c r="F45" s="27">
        <v>-0.011673723</v>
      </c>
      <c r="G45" s="27">
        <v>-0.13261545</v>
      </c>
      <c r="H45" s="27">
        <v>0.051204271</v>
      </c>
      <c r="I45" s="27">
        <v>0.1737182</v>
      </c>
      <c r="J45" s="27">
        <v>0.014772467</v>
      </c>
      <c r="K45" s="27">
        <v>0.088419419</v>
      </c>
      <c r="L45" s="27">
        <v>-0.00038373353</v>
      </c>
      <c r="M45" s="27">
        <v>-0.046139116</v>
      </c>
      <c r="N45" s="84">
        <v>0.048571041</v>
      </c>
      <c r="O45" s="84">
        <v>0.023932475</v>
      </c>
      <c r="P45" s="42">
        <f t="shared" si="13"/>
        <v>1</v>
      </c>
      <c r="Q45" s="3">
        <f t="shared" si="0"/>
        <v>0</v>
      </c>
      <c r="R45" s="3">
        <f t="shared" si="1"/>
        <v>1</v>
      </c>
      <c r="S45" s="15" t="str">
        <f t="shared" si="2"/>
        <v>n/A</v>
      </c>
      <c r="T45" s="15" t="str">
        <f t="shared" si="3"/>
        <v>n/A</v>
      </c>
      <c r="U45" s="15" t="str">
        <f t="shared" si="4"/>
        <v>n/A</v>
      </c>
      <c r="V45" s="15" t="str">
        <f t="shared" si="5"/>
        <v>n/A</v>
      </c>
      <c r="W45" s="15" t="str">
        <f t="shared" si="6"/>
        <v>n/A</v>
      </c>
      <c r="X45" s="15">
        <f t="shared" si="7"/>
        <v>0</v>
      </c>
      <c r="Y45" s="15">
        <f t="shared" si="8"/>
        <v>0</v>
      </c>
      <c r="Z45" s="15">
        <f t="shared" si="9"/>
        <v>0</v>
      </c>
      <c r="AA45" s="15">
        <f t="shared" si="10"/>
        <v>0</v>
      </c>
      <c r="AB45" s="15">
        <f t="shared" si="11"/>
        <v>0</v>
      </c>
      <c r="AC45" s="15" t="str">
        <f t="shared" si="12"/>
        <v>n/A</v>
      </c>
    </row>
    <row r="46" spans="1:29" ht="12">
      <c r="A46" s="3">
        <v>2</v>
      </c>
      <c r="B46" s="3">
        <v>300</v>
      </c>
      <c r="C46" s="3" t="s">
        <v>92</v>
      </c>
      <c r="D46" s="81">
        <v>0.85</v>
      </c>
      <c r="E46" s="20" t="s">
        <v>71</v>
      </c>
      <c r="F46" s="27">
        <v>-0.011618169</v>
      </c>
      <c r="G46" s="27">
        <v>-0.13497451</v>
      </c>
      <c r="H46" s="27">
        <v>0.049623288</v>
      </c>
      <c r="I46" s="27">
        <v>0.17310566</v>
      </c>
      <c r="J46" s="27">
        <v>0.0068605023</v>
      </c>
      <c r="K46" s="27">
        <v>0.08592637</v>
      </c>
      <c r="L46" s="27">
        <v>-0.00012516968</v>
      </c>
      <c r="M46" s="27">
        <v>-0.046185327</v>
      </c>
      <c r="N46" s="84">
        <v>0.04836922</v>
      </c>
      <c r="O46" s="84">
        <v>0.023506609</v>
      </c>
      <c r="P46" s="42">
        <f t="shared" si="13"/>
        <v>1</v>
      </c>
      <c r="Q46" s="3">
        <f t="shared" si="0"/>
        <v>0</v>
      </c>
      <c r="R46" s="3">
        <f t="shared" si="1"/>
        <v>1</v>
      </c>
      <c r="S46" s="15" t="str">
        <f t="shared" si="2"/>
        <v>n/A</v>
      </c>
      <c r="T46" s="15" t="str">
        <f t="shared" si="3"/>
        <v>n/A</v>
      </c>
      <c r="U46" s="15" t="str">
        <f t="shared" si="4"/>
        <v>n/A</v>
      </c>
      <c r="V46" s="15" t="str">
        <f t="shared" si="5"/>
        <v>n/A</v>
      </c>
      <c r="W46" s="15" t="str">
        <f t="shared" si="6"/>
        <v>n/A</v>
      </c>
      <c r="X46" s="15">
        <f t="shared" si="7"/>
        <v>0</v>
      </c>
      <c r="Y46" s="15">
        <f t="shared" si="8"/>
        <v>0</v>
      </c>
      <c r="Z46" s="15">
        <f t="shared" si="9"/>
        <v>0</v>
      </c>
      <c r="AA46" s="15">
        <f t="shared" si="10"/>
        <v>0</v>
      </c>
      <c r="AB46" s="15">
        <f t="shared" si="11"/>
        <v>0</v>
      </c>
      <c r="AC46" s="15" t="str">
        <f t="shared" si="12"/>
        <v>n/A</v>
      </c>
    </row>
    <row r="47" spans="1:29" ht="12">
      <c r="A47" s="3">
        <v>2</v>
      </c>
      <c r="B47" s="3">
        <v>300</v>
      </c>
      <c r="C47" s="3" t="s">
        <v>92</v>
      </c>
      <c r="D47" s="81">
        <v>1</v>
      </c>
      <c r="E47" s="20" t="s">
        <v>71</v>
      </c>
      <c r="F47" s="27">
        <v>-0.01155707</v>
      </c>
      <c r="G47" s="27">
        <v>-0.13105345</v>
      </c>
      <c r="H47" s="27">
        <v>0.04866361</v>
      </c>
      <c r="I47" s="27">
        <v>0.17237313</v>
      </c>
      <c r="J47" s="27">
        <v>-0.0042934648</v>
      </c>
      <c r="K47" s="27">
        <v>0.08392199</v>
      </c>
      <c r="L47" s="27">
        <v>0.00012501317</v>
      </c>
      <c r="M47" s="27">
        <v>-0.047297764</v>
      </c>
      <c r="N47" s="84">
        <v>0.047943742</v>
      </c>
      <c r="O47" s="84">
        <v>0.022883612</v>
      </c>
      <c r="P47" s="42">
        <f t="shared" si="13"/>
        <v>1</v>
      </c>
      <c r="Q47" s="3">
        <f t="shared" si="0"/>
        <v>0</v>
      </c>
      <c r="R47" s="3">
        <f t="shared" si="1"/>
        <v>1</v>
      </c>
      <c r="S47" s="15" t="str">
        <f t="shared" si="2"/>
        <v>n/A</v>
      </c>
      <c r="T47" s="15" t="str">
        <f t="shared" si="3"/>
        <v>n/A</v>
      </c>
      <c r="U47" s="15" t="str">
        <f t="shared" si="4"/>
        <v>n/A</v>
      </c>
      <c r="V47" s="15" t="str">
        <f t="shared" si="5"/>
        <v>n/A</v>
      </c>
      <c r="W47" s="15" t="str">
        <f t="shared" si="6"/>
        <v>n/A</v>
      </c>
      <c r="X47" s="15">
        <f t="shared" si="7"/>
        <v>0</v>
      </c>
      <c r="Y47" s="15">
        <f t="shared" si="8"/>
        <v>0</v>
      </c>
      <c r="Z47" s="15">
        <f t="shared" si="9"/>
        <v>0</v>
      </c>
      <c r="AA47" s="15">
        <f t="shared" si="10"/>
        <v>0</v>
      </c>
      <c r="AB47" s="15">
        <f t="shared" si="11"/>
        <v>0</v>
      </c>
      <c r="AC47" s="15" t="str">
        <f t="shared" si="12"/>
        <v>n/A</v>
      </c>
    </row>
    <row r="48" spans="1:29" ht="12">
      <c r="A48" s="3">
        <v>2</v>
      </c>
      <c r="B48" s="3">
        <v>300</v>
      </c>
      <c r="C48" s="3" t="s">
        <v>92</v>
      </c>
      <c r="D48" s="81">
        <v>1.2</v>
      </c>
      <c r="E48" s="20" t="s">
        <v>71</v>
      </c>
      <c r="F48" s="27">
        <v>-0.011451268</v>
      </c>
      <c r="G48" s="27">
        <v>-0.12205537</v>
      </c>
      <c r="H48" s="27">
        <v>0.048221345</v>
      </c>
      <c r="I48" s="27">
        <v>0.17111287</v>
      </c>
      <c r="J48" s="27">
        <v>-0.021222246</v>
      </c>
      <c r="K48" s="27">
        <v>0.081954232</v>
      </c>
      <c r="L48" s="27">
        <v>0.00040017706</v>
      </c>
      <c r="M48" s="27">
        <v>-0.049484787</v>
      </c>
      <c r="N48" s="84">
        <v>0.047249825</v>
      </c>
      <c r="O48" s="84">
        <v>0.021893273</v>
      </c>
      <c r="P48" s="42">
        <f t="shared" si="13"/>
        <v>1</v>
      </c>
      <c r="Q48" s="3">
        <f t="shared" si="0"/>
        <v>0</v>
      </c>
      <c r="R48" s="3">
        <f t="shared" si="1"/>
        <v>1</v>
      </c>
      <c r="S48" s="15" t="str">
        <f t="shared" si="2"/>
        <v>n/A</v>
      </c>
      <c r="T48" s="15" t="str">
        <f t="shared" si="3"/>
        <v>n/A</v>
      </c>
      <c r="U48" s="15" t="str">
        <f t="shared" si="4"/>
        <v>n/A</v>
      </c>
      <c r="V48" s="15" t="str">
        <f t="shared" si="5"/>
        <v>n/A</v>
      </c>
      <c r="W48" s="15" t="str">
        <f t="shared" si="6"/>
        <v>n/A</v>
      </c>
      <c r="X48" s="15">
        <f t="shared" si="7"/>
        <v>0</v>
      </c>
      <c r="Y48" s="15">
        <f t="shared" si="8"/>
        <v>0</v>
      </c>
      <c r="Z48" s="15">
        <f t="shared" si="9"/>
        <v>0</v>
      </c>
      <c r="AA48" s="15">
        <f t="shared" si="10"/>
        <v>0</v>
      </c>
      <c r="AB48" s="15">
        <f t="shared" si="11"/>
        <v>0</v>
      </c>
      <c r="AC48" s="15" t="str">
        <f t="shared" si="12"/>
        <v>n/A</v>
      </c>
    </row>
    <row r="49" spans="16:29" ht="12">
      <c r="P49" s="42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6:29" ht="12">
      <c r="P50" s="42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6:29" ht="12">
      <c r="P51" s="4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6:29" ht="12">
      <c r="P52" s="4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6:29" ht="12">
      <c r="P53" s="4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6:29" ht="12">
      <c r="P54" s="42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6:29" ht="12">
      <c r="P55" s="42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6:29" ht="12">
      <c r="P56" s="42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6:29" ht="12">
      <c r="P57" s="42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6:29" ht="12">
      <c r="P58" s="42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6:29" ht="12">
      <c r="P59" s="4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6:29" ht="12">
      <c r="P60" s="4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6:29" ht="12">
      <c r="P61" s="4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6:29" ht="12">
      <c r="P62" s="4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6:29" ht="12">
      <c r="P63" s="4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6:29" ht="12">
      <c r="P64" s="4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6:29" ht="12">
      <c r="P65" s="4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6:29" ht="12">
      <c r="P66" s="4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6:29" ht="12">
      <c r="P67" s="4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6:29" ht="12">
      <c r="P68" s="4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6:29" ht="12">
      <c r="P69" s="4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6:29" ht="12">
      <c r="P70" s="4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6:29" ht="12">
      <c r="P71" s="4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6:29" ht="12">
      <c r="P72" s="4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6:29" ht="12">
      <c r="P73" s="4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6:29" ht="12">
      <c r="P74" s="4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6:29" ht="12">
      <c r="P75" s="4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6:29" ht="12">
      <c r="P76" s="4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6:29" ht="12">
      <c r="P77" s="42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6:29" ht="12">
      <c r="P78" s="4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6:29" ht="12">
      <c r="P79" s="42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6:29" ht="12">
      <c r="P80" s="4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6:29" ht="12">
      <c r="P81" s="42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6:29" ht="12">
      <c r="P82" s="42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6:29" ht="12">
      <c r="P83" s="42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6:29" ht="12">
      <c r="P84" s="42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6:29" ht="12">
      <c r="P85" s="42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6:29" ht="12">
      <c r="P86" s="42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6:29" ht="12">
      <c r="P87" s="42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6:29" ht="12">
      <c r="P88" s="42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6:29" ht="12">
      <c r="P89" s="42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6:29" ht="12">
      <c r="P90" s="42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6:29" ht="12">
      <c r="P91" s="42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6:29" ht="12">
      <c r="P92" s="42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6:29" ht="12">
      <c r="P93" s="42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6:29" ht="12">
      <c r="P94" s="42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6:29" ht="12">
      <c r="P95" s="42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6:29" ht="12">
      <c r="P96" s="42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6:29" ht="12">
      <c r="P97" s="42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6:29" ht="12">
      <c r="P98" s="42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6:29" ht="12">
      <c r="P99" s="4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6:29" ht="12">
      <c r="P100" s="42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6:29" ht="12">
      <c r="P101" s="4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6:29" ht="12">
      <c r="P102" s="4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6:29" ht="12">
      <c r="P103" s="4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6:29" ht="12">
      <c r="P104" s="42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6:29" ht="12">
      <c r="P105" s="42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6:29" ht="12">
      <c r="P106" s="42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6:29" ht="12">
      <c r="P107" s="42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6:29" ht="12">
      <c r="P108" s="42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6:29" ht="12">
      <c r="P109" s="42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6:29" ht="12">
      <c r="P110" s="42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6:29" ht="12">
      <c r="P111" s="42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6:29" ht="12">
      <c r="P112" s="42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6:29" ht="12">
      <c r="P113" s="42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6:29" ht="12">
      <c r="P114" s="42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6:29" ht="12">
      <c r="P115" s="42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6:29" ht="12">
      <c r="P116" s="42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6:29" ht="12">
      <c r="P117" s="42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6:29" ht="12">
      <c r="P118" s="42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6:29" ht="12">
      <c r="P119" s="42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6:29" ht="12">
      <c r="P120" s="42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93" spans="16:29" ht="12">
      <c r="P193" s="42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6:29" ht="12">
      <c r="P194" s="42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6:29" ht="12">
      <c r="P195" s="42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6:29" ht="12">
      <c r="P196" s="42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6:29" ht="12">
      <c r="P197" s="42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6:29" ht="12">
      <c r="P198" s="42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6:29" ht="12">
      <c r="P199" s="42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6:29" ht="12">
      <c r="P200" s="42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6:29" ht="12">
      <c r="P201" s="42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6:29" ht="12">
      <c r="P202" s="42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6:29" ht="12">
      <c r="P203" s="42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6:29" ht="12">
      <c r="P204" s="42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6:29" ht="12">
      <c r="P205" s="42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6:29" ht="12">
      <c r="P206" s="42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6:29" ht="12">
      <c r="P207" s="42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6:29" ht="12">
      <c r="P208" s="42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5:29" ht="12">
      <c r="E209" s="21"/>
      <c r="P209" s="42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5:29" ht="12">
      <c r="E210" s="21"/>
      <c r="P210" s="42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5:29" ht="12">
      <c r="E211" s="21"/>
      <c r="P211" s="42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6:29" ht="12">
      <c r="P212" s="42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6:29" ht="12">
      <c r="P213" s="42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6:29" ht="12">
      <c r="P214" s="42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6:29" ht="12">
      <c r="P215" s="42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6:29" ht="12">
      <c r="P216" s="42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6:29" ht="12">
      <c r="P217" s="42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6:29" ht="12">
      <c r="P218" s="42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6:29" ht="12">
      <c r="P219" s="42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6:29" ht="12">
      <c r="P220" s="42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6:29" ht="12">
      <c r="P221" s="42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6:29" ht="12">
      <c r="P222" s="42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6:29" ht="12">
      <c r="P223" s="42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5:29" ht="12">
      <c r="E224" s="22"/>
      <c r="P224" s="42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5:29" ht="12">
      <c r="E225" s="22"/>
      <c r="P225" s="42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6:29" ht="12">
      <c r="P226" s="42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6:29" ht="12">
      <c r="P227" s="42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6:29" ht="12">
      <c r="P228" s="42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6:29" ht="12">
      <c r="P229" s="42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6:29" ht="12">
      <c r="P230" s="42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6:29" ht="12">
      <c r="P231" s="42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6:29" ht="12">
      <c r="P232" s="42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6:29" ht="12">
      <c r="P233" s="42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6:29" ht="12">
      <c r="P234" s="42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6:29" ht="12">
      <c r="P235" s="42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6:29" ht="12">
      <c r="P236" s="42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6:29" ht="12">
      <c r="P237" s="42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6:29" ht="12">
      <c r="P238" s="42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6:29" ht="12">
      <c r="P239" s="42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6:29" ht="12">
      <c r="P240" s="42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6:29" ht="12">
      <c r="P241" s="42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6:29" ht="12">
      <c r="P242" s="42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6:29" ht="12">
      <c r="P243" s="42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6:29" ht="12">
      <c r="P244" s="42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6:29" ht="12">
      <c r="P245" s="42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6:29" ht="12">
      <c r="P246" s="42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6:29" ht="12">
      <c r="P247" s="42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6:29" ht="12">
      <c r="P248" s="42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6:29" ht="12">
      <c r="P249" s="42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6:29" ht="12">
      <c r="P250" s="42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6:29" ht="12">
      <c r="P251" s="42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6:29" ht="12">
      <c r="P252" s="42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6:29" ht="12">
      <c r="P253" s="42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6:29" ht="12">
      <c r="P254" s="42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6:29" ht="12">
      <c r="P255" s="42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6:29" ht="12">
      <c r="P256" s="42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6:29" ht="12">
      <c r="P257" s="42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6:29" ht="12">
      <c r="P258" s="42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6:29" ht="12">
      <c r="P259" s="42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6:29" ht="12">
      <c r="P260" s="42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6:29" ht="12">
      <c r="P261" s="42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6:29" ht="12">
      <c r="P262" s="42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6:29" ht="12">
      <c r="P263" s="42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6:29" ht="12">
      <c r="P264" s="42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6:29" ht="12">
      <c r="P265" s="42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6:29" ht="12">
      <c r="P266" s="42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6:29" ht="12">
      <c r="P267" s="42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6:29" ht="12">
      <c r="P268" s="42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6:29" ht="12">
      <c r="P269" s="42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6:29" ht="12">
      <c r="P270" s="42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6:29" ht="12">
      <c r="P271" s="42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6:29" ht="12">
      <c r="P272" s="42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6:29" ht="12">
      <c r="P273" s="42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6:29" ht="12">
      <c r="P274" s="42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6:29" ht="12">
      <c r="P275" s="42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6:29" ht="12">
      <c r="P276" s="42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6:29" ht="12">
      <c r="P277" s="42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6:29" ht="12">
      <c r="P278" s="42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6:29" ht="12">
      <c r="P279" s="42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6:29" ht="12">
      <c r="P280" s="42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6:29" ht="12">
      <c r="P281" s="42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6:29" ht="12">
      <c r="P282" s="42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6:29" ht="12">
      <c r="P283" s="42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6:29" ht="12">
      <c r="P284" s="42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6:29" ht="12">
      <c r="P285" s="42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6:29" ht="12">
      <c r="P286" s="42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6:29" ht="12">
      <c r="P287" s="42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6:29" ht="12">
      <c r="P288" s="42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6:29" ht="12">
      <c r="P289" s="42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6:29" ht="12">
      <c r="P290" s="42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6:29" ht="12">
      <c r="P291" s="42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6:29" ht="12">
      <c r="P292" s="42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6:29" ht="12">
      <c r="P293" s="42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6:29" ht="12">
      <c r="P294" s="42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6:29" ht="12">
      <c r="P295" s="42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6:29" ht="12">
      <c r="P296" s="42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6:29" ht="12">
      <c r="P297" s="42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6:29" ht="12">
      <c r="P298" s="42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6:29" ht="12">
      <c r="P299" s="42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6:29" ht="12">
      <c r="P300" s="42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6:29" ht="12">
      <c r="P301" s="42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6:29" ht="12">
      <c r="P302" s="42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6:29" ht="12">
      <c r="P303" s="42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6:29" ht="12">
      <c r="P304" s="42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6:29" ht="12">
      <c r="P305" s="42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6:29" ht="12">
      <c r="P306" s="42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6:29" ht="12">
      <c r="P307" s="42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6:29" ht="12">
      <c r="P308" s="42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6:29" ht="12">
      <c r="P309" s="42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6:29" ht="12">
      <c r="P310" s="42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6:29" ht="12">
      <c r="P311" s="42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6:29" ht="12">
      <c r="P312" s="42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6:29" ht="12">
      <c r="P313" s="42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6:29" ht="12">
      <c r="P314" s="42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6:29" ht="12">
      <c r="P315" s="42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6:29" ht="12">
      <c r="P316" s="42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6:29" ht="12">
      <c r="P317" s="42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6:29" ht="12">
      <c r="P318" s="42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6:29" ht="12">
      <c r="P319" s="42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6:29" ht="12">
      <c r="P320" s="42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6:29" ht="12">
      <c r="P321" s="42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6:29" ht="12">
      <c r="P322" s="42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6:29" ht="12">
      <c r="P323" s="42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6:29" ht="12">
      <c r="P324" s="42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6:29" ht="12">
      <c r="P325" s="42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6:29" ht="12">
      <c r="P326" s="42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6:29" ht="12">
      <c r="P327" s="42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6:29" ht="12">
      <c r="P328" s="42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6:29" ht="12">
      <c r="P329" s="42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6:29" ht="12">
      <c r="P330" s="42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6:29" ht="12">
      <c r="P331" s="42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6:29" ht="12">
      <c r="P332" s="42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6:29" ht="12">
      <c r="P333" s="42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6:29" ht="12">
      <c r="P334" s="42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6:29" ht="12">
      <c r="P335" s="42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6:29" ht="12">
      <c r="P336" s="42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6:29" ht="12">
      <c r="P337" s="42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6:29" ht="12">
      <c r="P338" s="42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6:29" ht="12">
      <c r="P339" s="42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6:29" ht="12">
      <c r="P340" s="42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6:29" ht="12">
      <c r="P341" s="42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6:29" ht="12">
      <c r="P342" s="42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6:29" ht="12">
      <c r="P343" s="42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6:29" ht="12">
      <c r="P344" s="42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6:29" ht="12">
      <c r="P345" s="42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6:29" ht="12">
      <c r="P346" s="42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6:29" ht="12">
      <c r="P347" s="42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6:29" ht="12">
      <c r="P348" s="42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6:29" ht="12">
      <c r="P349" s="42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6:29" ht="12">
      <c r="P350" s="42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6:29" ht="12">
      <c r="P351" s="42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6:29" ht="12">
      <c r="P352" s="42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6:29" ht="12">
      <c r="P353" s="42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6:29" ht="12">
      <c r="P354" s="42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6:29" ht="12">
      <c r="P355" s="42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6:29" ht="12">
      <c r="P356" s="42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6:29" ht="12">
      <c r="P357" s="42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6:29" ht="12">
      <c r="P358" s="42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6:29" ht="12">
      <c r="P359" s="42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6:29" ht="12">
      <c r="P360" s="42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6:29" ht="12">
      <c r="P361" s="42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6:29" ht="12">
      <c r="P362" s="42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6:29" ht="12">
      <c r="P363" s="42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6:29" ht="12">
      <c r="P364" s="42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6:29" ht="12">
      <c r="P365" s="42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6:29" ht="12">
      <c r="P366" s="42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6:29" ht="12">
      <c r="P367" s="42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6:29" ht="12">
      <c r="P368" s="42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6:29" ht="12">
      <c r="P369" s="42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6:29" ht="12">
      <c r="P370" s="42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6:29" ht="12">
      <c r="P371" s="42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6:29" ht="12">
      <c r="P372" s="42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6:29" ht="12">
      <c r="P373" s="42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6:29" ht="12">
      <c r="P374" s="42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6:29" ht="12">
      <c r="P375" s="42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6:29" ht="12">
      <c r="P376" s="42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6:29" ht="12">
      <c r="P377" s="42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6:29" ht="12">
      <c r="P378" s="42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6:29" ht="12">
      <c r="P379" s="42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6:29" ht="12">
      <c r="P380" s="42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6:29" ht="12">
      <c r="P381" s="42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6:29" ht="12">
      <c r="P382" s="42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6:29" ht="12">
      <c r="P383" s="42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6:29" ht="12">
      <c r="P384" s="42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6:29" ht="12">
      <c r="P385" s="42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6:29" ht="12">
      <c r="P386" s="42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6:29" ht="12">
      <c r="P387" s="42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6:29" ht="12">
      <c r="P388" s="42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6:29" ht="12">
      <c r="P389" s="42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6:29" ht="12">
      <c r="P390" s="42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6:29" ht="12">
      <c r="P391" s="42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6:29" ht="12">
      <c r="P392" s="42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6:29" ht="12">
      <c r="P393" s="42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6:29" ht="12">
      <c r="P394" s="42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6:29" ht="12">
      <c r="P395" s="42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6:29" ht="12">
      <c r="P396" s="42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6:29" ht="12">
      <c r="P397" s="42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6:29" ht="12">
      <c r="P398" s="42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6:29" ht="12">
      <c r="P399" s="42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6:29" ht="12">
      <c r="P400" s="42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6:29" ht="12">
      <c r="P401" s="42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6:29" ht="12">
      <c r="P402" s="42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6:29" ht="12">
      <c r="P403" s="42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6:29" ht="12">
      <c r="P404" s="42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6:29" ht="12">
      <c r="P405" s="42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6:29" ht="12">
      <c r="P406" s="42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6:29" ht="12">
      <c r="P407" s="42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6:29" ht="12">
      <c r="P408" s="42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6:29" ht="12">
      <c r="P409" s="42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6:29" ht="12">
      <c r="P410" s="42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6:29" ht="12">
      <c r="P411" s="42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6:29" ht="12">
      <c r="P412" s="42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6:29" ht="12">
      <c r="P413" s="42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6:29" ht="12">
      <c r="P414" s="42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6:29" ht="12">
      <c r="P415" s="42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6:29" ht="12">
      <c r="P416" s="42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6:29" ht="12">
      <c r="P417" s="42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6:29" ht="12">
      <c r="P418" s="42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6:29" ht="12">
      <c r="P419" s="42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6:29" ht="12">
      <c r="P420" s="42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6:29" ht="12">
      <c r="P421" s="42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6:29" ht="12">
      <c r="P422" s="42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6:29" ht="12">
      <c r="P423" s="42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6:29" ht="12">
      <c r="P424" s="42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6:29" ht="12">
      <c r="P425" s="42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6:29" ht="12">
      <c r="P426" s="42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6:29" ht="12">
      <c r="P427" s="42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6:29" ht="12">
      <c r="P428" s="42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6:29" ht="12">
      <c r="P429" s="42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6:29" ht="12">
      <c r="P430" s="42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6:29" ht="12">
      <c r="P431" s="42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6:29" ht="12">
      <c r="P432" s="42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6:29" ht="12">
      <c r="P433" s="42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6:29" ht="12">
      <c r="P434" s="42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6:29" ht="12">
      <c r="P435" s="42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6:29" ht="12">
      <c r="P436" s="42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6:29" ht="12">
      <c r="P437" s="42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6:29" ht="12">
      <c r="P438" s="42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6:29" ht="12">
      <c r="P439" s="42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6:29" ht="12">
      <c r="P440" s="42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6:29" ht="12">
      <c r="P441" s="42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6:29" ht="12">
      <c r="P442" s="42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6:29" ht="12">
      <c r="P443" s="42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6:29" ht="12">
      <c r="P444" s="42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6:29" ht="12">
      <c r="P445" s="42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6:29" ht="12">
      <c r="P446" s="42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6:29" ht="12">
      <c r="P447" s="42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6:29" ht="12">
      <c r="P448" s="42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6:29" ht="12">
      <c r="P449" s="42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6:29" ht="12">
      <c r="P450" s="42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6:29" ht="12">
      <c r="P451" s="42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6:29" ht="12">
      <c r="P452" s="42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6:29" ht="12">
      <c r="P453" s="42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6:29" ht="12">
      <c r="P454" s="42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6:29" ht="12">
      <c r="P455" s="42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6:29" ht="12">
      <c r="P456" s="42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6:29" ht="12">
      <c r="P457" s="42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6:29" ht="12">
      <c r="P458" s="42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6:29" ht="12">
      <c r="P459" s="42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6:29" ht="12">
      <c r="P460" s="42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6:29" ht="12">
      <c r="P461" s="42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6:29" ht="12">
      <c r="P462" s="42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6:29" ht="12">
      <c r="P463" s="42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6:29" ht="12">
      <c r="P464" s="42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6:29" ht="12">
      <c r="P465" s="42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6:29" ht="12">
      <c r="P466" s="42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6:29" ht="12">
      <c r="P467" s="42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6:29" ht="12">
      <c r="P468" s="42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6:29" ht="12">
      <c r="P469" s="42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6:29" ht="12">
      <c r="P470" s="42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6:29" ht="12">
      <c r="P471" s="42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6:29" ht="12">
      <c r="P472" s="42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6:29" ht="12">
      <c r="P473" s="42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6:29" ht="12">
      <c r="P474" s="42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6:29" ht="12">
      <c r="P475" s="42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6:29" ht="12">
      <c r="P476" s="42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6:29" ht="12">
      <c r="P477" s="42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6:29" ht="12">
      <c r="P478" s="42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6:29" ht="12">
      <c r="P479" s="42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6:29" ht="12">
      <c r="P480" s="42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6:29" ht="12">
      <c r="P481" s="42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6:29" ht="12">
      <c r="P482" s="42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6:29" ht="12">
      <c r="P483" s="42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6:29" ht="12">
      <c r="P484" s="42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6:29" ht="12">
      <c r="P485" s="42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6:29" ht="12">
      <c r="P486" s="42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6:29" ht="12">
      <c r="P487" s="42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6:29" ht="12">
      <c r="P488" s="42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6:29" ht="12">
      <c r="P489" s="42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6:29" ht="12">
      <c r="P490" s="42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6:29" ht="12">
      <c r="P491" s="42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6:29" ht="12">
      <c r="P492" s="42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6:29" ht="12">
      <c r="P493" s="42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6:29" ht="12">
      <c r="P494" s="42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6:29" ht="12">
      <c r="P495" s="42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6:29" ht="12">
      <c r="P496" s="42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6:29" ht="12">
      <c r="P497" s="42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6:29" ht="12">
      <c r="P498" s="42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6:29" ht="12">
      <c r="P499" s="42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6:29" ht="12">
      <c r="P500" s="42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6:29" ht="12">
      <c r="P501" s="42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6:29" ht="12">
      <c r="P502" s="42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6:29" ht="12">
      <c r="P503" s="42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6:29" ht="12">
      <c r="P504" s="42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6:29" ht="12">
      <c r="P505" s="42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6:29" ht="12">
      <c r="P506" s="42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6:29" ht="12">
      <c r="P507" s="42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6:29" ht="12">
      <c r="P508" s="42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6:29" ht="12">
      <c r="P509" s="42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6:29" ht="12">
      <c r="P510" s="42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6:29" ht="12">
      <c r="P511" s="42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6:29" ht="12">
      <c r="P512" s="42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6:29" ht="12">
      <c r="P513" s="42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6:29" ht="12">
      <c r="P514" s="42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6:29" ht="12">
      <c r="P515" s="42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6:29" ht="12">
      <c r="P516" s="42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6:29" ht="12">
      <c r="P517" s="42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6:29" ht="12">
      <c r="P518" s="42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6:29" ht="12">
      <c r="P519" s="42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6:29" ht="12">
      <c r="P520" s="42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6:29" ht="12">
      <c r="P521" s="42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6:29" ht="12">
      <c r="P522" s="42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6:29" ht="12">
      <c r="P523" s="42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6:29" ht="12">
      <c r="P524" s="42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6:29" ht="12">
      <c r="P525" s="42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6:29" ht="12">
      <c r="P526" s="42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6:29" ht="12">
      <c r="P527" s="42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6:29" ht="12">
      <c r="P528" s="42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6:29" ht="12">
      <c r="P529" s="42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6:29" ht="12">
      <c r="P530" s="42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6:29" ht="12">
      <c r="P531" s="42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6:29" ht="12">
      <c r="P532" s="42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6:29" ht="12">
      <c r="P533" s="42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6:29" ht="12">
      <c r="P534" s="42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6:29" ht="12">
      <c r="P535" s="42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6:29" ht="12">
      <c r="P536" s="42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6:29" ht="12">
      <c r="P537" s="42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6:29" ht="12">
      <c r="P538" s="42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6:29" ht="12">
      <c r="P539" s="42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6:29" ht="12">
      <c r="P540" s="42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6:29" ht="12">
      <c r="P541" s="42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6:29" ht="12">
      <c r="P542" s="42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6:29" ht="12">
      <c r="P543" s="42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6:29" ht="12">
      <c r="P544" s="42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6:29" ht="12">
      <c r="P545" s="42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6:29" ht="12">
      <c r="P546" s="42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6:29" ht="12">
      <c r="P547" s="42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6:29" ht="12">
      <c r="P548" s="42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6:29" ht="12">
      <c r="P549" s="42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6:29" ht="12">
      <c r="P550" s="42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6:29" ht="12">
      <c r="P551" s="42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6:29" ht="12">
      <c r="P552" s="42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6:29" ht="12">
      <c r="P553" s="42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6:29" ht="12">
      <c r="P554" s="42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6:29" ht="12">
      <c r="P555" s="42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6:29" ht="12">
      <c r="P556" s="42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6:29" ht="12">
      <c r="P557" s="42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6:29" ht="12">
      <c r="P558" s="42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6:29" ht="12">
      <c r="P559" s="42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6:29" ht="12">
      <c r="P560" s="42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6:29" ht="12">
      <c r="P561" s="42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6:29" ht="12">
      <c r="P562" s="42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6:29" ht="12">
      <c r="P563" s="42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6:29" ht="12">
      <c r="P564" s="42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6:29" ht="12">
      <c r="P565" s="42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6:29" ht="12">
      <c r="P566" s="42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6:29" ht="12">
      <c r="P567" s="42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6:29" ht="12">
      <c r="P568" s="42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6:29" ht="12">
      <c r="P569" s="42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6:29" ht="12">
      <c r="P570" s="42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6:29" ht="12">
      <c r="P571" s="42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6:29" ht="12">
      <c r="P572" s="42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6:29" ht="12">
      <c r="P573" s="42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6:29" ht="12">
      <c r="P574" s="42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6:29" ht="12">
      <c r="P575" s="42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6:29" ht="12">
      <c r="P576" s="42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6:29" ht="12">
      <c r="P577" s="42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6:29" ht="12">
      <c r="P578" s="42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6:29" ht="12">
      <c r="P579" s="42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6:29" ht="12">
      <c r="P580" s="42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6:29" ht="12">
      <c r="P581" s="42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6:29" ht="12">
      <c r="P582" s="42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6:29" ht="12">
      <c r="P583" s="42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6:29" ht="12">
      <c r="P584" s="42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6:29" ht="12">
      <c r="P585" s="42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6:29" ht="12">
      <c r="P586" s="42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6:29" ht="12">
      <c r="P587" s="42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</sheetData>
  <sheetProtection sheet="1" selectLockedCells="1" sort="0" autoFilter="0"/>
  <autoFilter ref="A12:N587"/>
  <mergeCells count="14">
    <mergeCell ref="L9:M9"/>
    <mergeCell ref="L5:M5"/>
    <mergeCell ref="J6:K6"/>
    <mergeCell ref="J7:K7"/>
    <mergeCell ref="J8:K8"/>
    <mergeCell ref="J9:K9"/>
    <mergeCell ref="L6:M6"/>
    <mergeCell ref="L7:M7"/>
    <mergeCell ref="R4:T4"/>
    <mergeCell ref="D4:G4"/>
    <mergeCell ref="J5:K5"/>
    <mergeCell ref="A1:J1"/>
    <mergeCell ref="A4:B4"/>
    <mergeCell ref="L8:M8"/>
  </mergeCells>
  <dataValidations count="1">
    <dataValidation errorStyle="information" type="decimal" operator="lessThan" allowBlank="1" showInputMessage="1" showErrorMessage="1" sqref="N193:O65536 N13:O120">
      <formula1>0.7</formula1>
    </dataValidation>
  </dataValidation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Mette</dc:creator>
  <cp:keywords/>
  <dc:description/>
  <cp:lastModifiedBy>mette</cp:lastModifiedBy>
  <dcterms:created xsi:type="dcterms:W3CDTF">2007-10-31T07:01:11Z</dcterms:created>
  <dcterms:modified xsi:type="dcterms:W3CDTF">2008-02-04T12:50:41Z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